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Users/mac/Downloads/"/>
    </mc:Choice>
  </mc:AlternateContent>
  <xr:revisionPtr revIDLastSave="0" documentId="13_ncr:1_{1FB511FC-E91C-5B47-A84C-9E432AA3A7F2}" xr6:coauthVersionLast="47" xr6:coauthVersionMax="47" xr10:uidLastSave="{00000000-0000-0000-0000-000000000000}"/>
  <bookViews>
    <workbookView xWindow="0" yWindow="620" windowWidth="28800" windowHeight="17380" xr2:uid="{00000000-000D-0000-FFFF-FFFF00000000}"/>
  </bookViews>
  <sheets>
    <sheet name="Resumen" sheetId="3" r:id="rId1"/>
    <sheet name="INPUTS" sheetId="1" r:id="rId2"/>
    <sheet name="Modelo" sheetId="2" r:id="rId3"/>
    <sheet name="DISCLAIMER" sheetId="4" r:id="rId4"/>
    <sheet name="Fases" sheetId="5" state="hidden" r:id="rId5"/>
  </sheets>
  <definedNames>
    <definedName name="_xlnm.Print_Area" localSheetId="2">Modelo!$A$1:$J$89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5" i="1"/>
  <c r="B23" i="1"/>
  <c r="B29" i="1"/>
  <c r="B30" i="1"/>
  <c r="B31" i="1"/>
  <c r="B32" i="1"/>
  <c r="B28" i="1"/>
  <c r="B25" i="1"/>
  <c r="D25" i="2" l="1"/>
  <c r="D23" i="2"/>
  <c r="C13" i="3"/>
  <c r="B26" i="1"/>
  <c r="B27" i="1"/>
  <c r="G20" i="2"/>
  <c r="E21" i="2" s="1"/>
  <c r="B11" i="3"/>
  <c r="A8" i="3"/>
  <c r="B8" i="3"/>
  <c r="A18" i="3"/>
  <c r="E18" i="3" s="1"/>
  <c r="B9" i="3"/>
  <c r="B5" i="3"/>
  <c r="C5" i="3" s="1"/>
  <c r="B11" i="2"/>
  <c r="E9" i="2"/>
  <c r="B9" i="2"/>
  <c r="B8" i="2"/>
  <c r="E23" i="2" s="1"/>
  <c r="B5" i="2"/>
  <c r="B4" i="2"/>
  <c r="E11" i="2" s="1"/>
  <c r="B33" i="1" l="1"/>
  <c r="E20" i="2"/>
  <c r="H12" i="2" s="1"/>
  <c r="E16" i="2" s="1"/>
  <c r="H9" i="2"/>
  <c r="C24" i="2"/>
  <c r="E13" i="2"/>
  <c r="E18" i="2" s="1"/>
  <c r="B18" i="3"/>
  <c r="E12" i="2"/>
  <c r="E10" i="2"/>
  <c r="H10" i="2"/>
  <c r="E17" i="2" s="1"/>
  <c r="E14" i="2"/>
  <c r="C18" i="3"/>
  <c r="D18" i="3"/>
  <c r="E22" i="2" l="1"/>
  <c r="E25" i="2"/>
  <c r="E24" i="2"/>
  <c r="B13" i="2"/>
  <c r="B28" i="2" s="1"/>
  <c r="C26" i="2"/>
  <c r="C84" i="2"/>
  <c r="C83" i="2"/>
  <c r="C75" i="2"/>
  <c r="C67" i="2"/>
  <c r="C59" i="2"/>
  <c r="C51" i="2"/>
  <c r="C43" i="2"/>
  <c r="C35" i="2"/>
  <c r="C27" i="2"/>
  <c r="C74" i="2"/>
  <c r="C66" i="2"/>
  <c r="C58" i="2"/>
  <c r="C50" i="2"/>
  <c r="C42" i="2"/>
  <c r="C34" i="2"/>
  <c r="C25" i="2"/>
  <c r="C73" i="2"/>
  <c r="C65" i="2"/>
  <c r="C57" i="2"/>
  <c r="C49" i="2"/>
  <c r="C82" i="2"/>
  <c r="C81" i="2"/>
  <c r="C80" i="2"/>
  <c r="C72" i="2"/>
  <c r="C64" i="2"/>
  <c r="C56" i="2"/>
  <c r="C48" i="2"/>
  <c r="C40" i="2"/>
  <c r="C32" i="2"/>
  <c r="C79" i="2"/>
  <c r="C78" i="2"/>
  <c r="C70" i="2"/>
  <c r="C62" i="2"/>
  <c r="C54" i="2"/>
  <c r="C46" i="2"/>
  <c r="C38" i="2"/>
  <c r="C30" i="2"/>
  <c r="C36" i="2"/>
  <c r="C33" i="2"/>
  <c r="C63" i="2"/>
  <c r="C55" i="2"/>
  <c r="C39" i="2"/>
  <c r="C77" i="2"/>
  <c r="C69" i="2"/>
  <c r="C61" i="2"/>
  <c r="C53" i="2"/>
  <c r="C45" i="2"/>
  <c r="C37" i="2"/>
  <c r="C29" i="2"/>
  <c r="C76" i="2"/>
  <c r="C68" i="2"/>
  <c r="C60" i="2"/>
  <c r="C52" i="2"/>
  <c r="C44" i="2"/>
  <c r="C28" i="2"/>
  <c r="C41" i="2"/>
  <c r="C71" i="2"/>
  <c r="C47" i="2"/>
  <c r="C31" i="2"/>
  <c r="B15" i="2"/>
  <c r="B53" i="2"/>
  <c r="B83" i="2"/>
  <c r="B79" i="2"/>
  <c r="B75" i="2"/>
  <c r="B71" i="2"/>
  <c r="B67" i="2"/>
  <c r="B63" i="2"/>
  <c r="B59" i="2"/>
  <c r="B55" i="2"/>
  <c r="B51" i="2"/>
  <c r="B47" i="2"/>
  <c r="B43" i="2"/>
  <c r="B31" i="2"/>
  <c r="B27" i="2"/>
  <c r="B78" i="2"/>
  <c r="B74" i="2"/>
  <c r="B66" i="2"/>
  <c r="B54" i="2"/>
  <c r="B46" i="2"/>
  <c r="B81" i="2"/>
  <c r="B69" i="2"/>
  <c r="B57" i="2"/>
  <c r="B37" i="2"/>
  <c r="B72" i="2"/>
  <c r="B82" i="2"/>
  <c r="B70" i="2"/>
  <c r="B62" i="2"/>
  <c r="B58" i="2"/>
  <c r="B50" i="2"/>
  <c r="B42" i="2"/>
  <c r="B38" i="2"/>
  <c r="B34" i="2"/>
  <c r="B30" i="2"/>
  <c r="B73" i="2"/>
  <c r="B65" i="2"/>
  <c r="B45" i="2"/>
  <c r="B33" i="2"/>
  <c r="B25" i="2"/>
  <c r="B80" i="2"/>
  <c r="B64" i="2"/>
  <c r="B56" i="2"/>
  <c r="B48" i="2"/>
  <c r="B44" i="2"/>
  <c r="B40" i="2"/>
  <c r="B32" i="2"/>
  <c r="B77" i="2"/>
  <c r="B61" i="2"/>
  <c r="B49" i="2"/>
  <c r="B41" i="2"/>
  <c r="B29" i="2"/>
  <c r="B84" i="2"/>
  <c r="B76" i="2"/>
  <c r="B68" i="2"/>
  <c r="B60" i="2"/>
  <c r="B52" i="2"/>
  <c r="B36" i="2"/>
  <c r="D13" i="3"/>
  <c r="E26" i="2" l="1"/>
  <c r="E11" i="1" s="1"/>
  <c r="B35" i="2"/>
  <c r="B39" i="2"/>
  <c r="B26" i="2"/>
  <c r="B13" i="1" l="1"/>
  <c r="B10" i="2" s="1"/>
  <c r="B14" i="2" s="1"/>
  <c r="B16" i="2" l="1"/>
  <c r="B24" i="2"/>
  <c r="B10" i="3"/>
  <c r="B89" i="2" l="1"/>
  <c r="B105" i="2" s="1"/>
  <c r="B19" i="2" s="1"/>
  <c r="D12" i="3" s="1"/>
  <c r="B87" i="2"/>
  <c r="B88" i="2" s="1"/>
  <c r="B104" i="2" s="1"/>
  <c r="B20" i="2" s="1"/>
  <c r="D11" i="3" s="1"/>
  <c r="B17" i="2"/>
  <c r="D9" i="3" s="1"/>
  <c r="D8" i="3"/>
  <c r="B18" i="2" l="1"/>
  <c r="D10" i="3" s="1"/>
</calcChain>
</file>

<file path=xl/sharedStrings.xml><?xml version="1.0" encoding="utf-8"?>
<sst xmlns="http://schemas.openxmlformats.org/spreadsheetml/2006/main" count="136" uniqueCount="112">
  <si>
    <t>INPUTS · Tu Calculadora ROI NPL (Inmubi)</t>
  </si>
  <si>
    <t>Total deuda (€)</t>
  </si>
  <si>
    <t>Valor tasación  en subasta(VT) (€)</t>
  </si>
  <si>
    <t>Precio compra deuda (€)</t>
  </si>
  <si>
    <t>Deuda total (D) (€)</t>
  </si>
  <si>
    <t>Otros costes iniciales (€)</t>
  </si>
  <si>
    <t>Puja máxima (P) (€) (0 si desierta)</t>
  </si>
  <si>
    <t>Valor de mercado hoy (€)</t>
  </si>
  <si>
    <t>Tipo inmueble (T)</t>
  </si>
  <si>
    <t>VIVIENDA</t>
  </si>
  <si>
    <t>¿Deudor vulnerable?</t>
  </si>
  <si>
    <t>No</t>
  </si>
  <si>
    <t>Tasa actualización valor (anual)</t>
  </si>
  <si>
    <t>Meses extra judicial (si saturado)</t>
  </si>
  <si>
    <t>Coste legal extra judicial (€)</t>
  </si>
  <si>
    <t>Vía</t>
  </si>
  <si>
    <t>Ejecución hipotecaria</t>
  </si>
  <si>
    <t>D) Acuerdo con el deudor</t>
  </si>
  <si>
    <t>Cash for keys (€)</t>
  </si>
  <si>
    <t>Escenario seleccionado</t>
  </si>
  <si>
    <t>Base</t>
  </si>
  <si>
    <t>Plazo total acuerdo (meses)</t>
  </si>
  <si>
    <t>Fase actual</t>
  </si>
  <si>
    <t>2. Presentación de Demanda y Admisión</t>
  </si>
  <si>
    <t>¿Juzgado saturado?</t>
  </si>
  <si>
    <t>Sí</t>
  </si>
  <si>
    <t>Escenario</t>
  </si>
  <si>
    <t>Revalorización anual g (%)</t>
  </si>
  <si>
    <t>Coste legal fijo (€)</t>
  </si>
  <si>
    <t>Coste gestión mensual</t>
  </si>
  <si>
    <t>TIR objetivo</t>
  </si>
  <si>
    <t>Optimista</t>
  </si>
  <si>
    <t>Pesimista</t>
  </si>
  <si>
    <t>Modelo NPL (cashflows, TIR, NPV)</t>
  </si>
  <si>
    <t>Controles</t>
  </si>
  <si>
    <t>Vía de recuperación</t>
  </si>
  <si>
    <t>Inputs del activo</t>
  </si>
  <si>
    <t>Supuestos (desde Escenarios)</t>
  </si>
  <si>
    <t>Ajustes vía</t>
  </si>
  <si>
    <t>Precio de compra del NPL (€)</t>
  </si>
  <si>
    <t>Meses extra judicial</t>
  </si>
  <si>
    <t>Coste legal extra judicial</t>
  </si>
  <si>
    <t>Coste legal fijo</t>
  </si>
  <si>
    <t>KPIs</t>
  </si>
  <si>
    <t>Salida (Exit value) (€)</t>
  </si>
  <si>
    <t>TIR objetivo (para NPV)</t>
  </si>
  <si>
    <t>Inversión total inicial (€)</t>
  </si>
  <si>
    <t>Meses (escenario)</t>
  </si>
  <si>
    <t>Coste total gestión (€)</t>
  </si>
  <si>
    <t>Supuestos efectivos</t>
  </si>
  <si>
    <t>Inversión total (€)</t>
  </si>
  <si>
    <t>Beneficio neto (€)</t>
  </si>
  <si>
    <t>Coste legal total</t>
  </si>
  <si>
    <t>ROI (%)</t>
  </si>
  <si>
    <t>Descuento mensual</t>
  </si>
  <si>
    <t>NPV (€)</t>
  </si>
  <si>
    <t>TIR anual (aprox.)</t>
  </si>
  <si>
    <t>Timeline de cashflows (mensual)</t>
  </si>
  <si>
    <t>Mes</t>
  </si>
  <si>
    <t>Cashflow (€)</t>
  </si>
  <si>
    <t>Comentario</t>
  </si>
  <si>
    <t>Cálculos</t>
  </si>
  <si>
    <t>TIR mensual</t>
  </si>
  <si>
    <t>Tu Calculadora ROI NPL — Inmubi</t>
  </si>
  <si>
    <t>Modelo orientativo para analizar oportunidades NPL. Ajusta supuestos por activo y jurisdicción.</t>
  </si>
  <si>
    <t>Inputs rápidos</t>
  </si>
  <si>
    <t>Resultados</t>
  </si>
  <si>
    <t>Precio de compra (€)</t>
  </si>
  <si>
    <t>AVISO LEGAL / EXENCIÓN Y LIMITACIÓN DE RESPONSABILIDAD</t>
  </si>
  <si>
    <t>Fase</t>
  </si>
  <si>
    <t>Meses (default)</t>
  </si>
  <si>
    <t>1. Impago y Reclamación Extrajudicial</t>
  </si>
  <si>
    <t>3. Notificación y Requerimiento de Pago</t>
  </si>
  <si>
    <t>4. Oposición a la Ejecución</t>
  </si>
  <si>
    <t>5. Certificación de Cargas y Tasación</t>
  </si>
  <si>
    <t>6. Convocatoria y Celebración de Subasta</t>
  </si>
  <si>
    <r>
      <t>ITP s/Valor referencia</t>
    </r>
    <r>
      <rPr>
        <sz val="11"/>
        <color theme="1"/>
        <rFont val="Calibri"/>
        <family val="2"/>
        <scheme val="minor"/>
      </rPr>
      <t xml:space="preserve"> → </t>
    </r>
    <r>
      <rPr>
        <b/>
        <sz val="11"/>
        <color theme="1"/>
        <rFont val="Calibri"/>
        <family val="2"/>
        <scheme val="minor"/>
      </rPr>
      <t>10%</t>
    </r>
  </si>
  <si>
    <r>
      <t>Notario</t>
    </r>
    <r>
      <rPr>
        <sz val="11"/>
        <color theme="1"/>
        <rFont val="Calibri"/>
        <family val="2"/>
        <scheme val="minor"/>
      </rPr>
      <t xml:space="preserve"> → </t>
    </r>
    <r>
      <rPr>
        <b/>
        <sz val="11"/>
        <color theme="1"/>
        <rFont val="Calibri"/>
        <family val="2"/>
        <scheme val="minor"/>
      </rPr>
      <t>0,40%</t>
    </r>
  </si>
  <si>
    <r>
      <t>Registro</t>
    </r>
    <r>
      <rPr>
        <sz val="11"/>
        <color theme="1"/>
        <rFont val="Calibri"/>
        <family val="2"/>
        <scheme val="minor"/>
      </rPr>
      <t xml:space="preserve"> → </t>
    </r>
    <r>
      <rPr>
        <b/>
        <sz val="11"/>
        <color theme="1"/>
        <rFont val="Calibri"/>
        <family val="2"/>
        <scheme val="minor"/>
      </rPr>
      <t>0,25%</t>
    </r>
  </si>
  <si>
    <r>
      <t>Gestoría</t>
    </r>
    <r>
      <rPr>
        <sz val="11"/>
        <color theme="1"/>
        <rFont val="Calibri"/>
        <family val="2"/>
        <scheme val="minor"/>
      </rPr>
      <t xml:space="preserve"> → </t>
    </r>
    <r>
      <rPr>
        <b/>
        <sz val="11"/>
        <color theme="1"/>
        <rFont val="Calibri"/>
        <family val="2"/>
        <scheme val="minor"/>
      </rPr>
      <t>350</t>
    </r>
  </si>
  <si>
    <r>
      <t>Embargo tercero</t>
    </r>
    <r>
      <rPr>
        <sz val="11"/>
        <color theme="1"/>
        <rFont val="Calibri"/>
        <family val="2"/>
        <scheme val="minor"/>
      </rPr>
      <t xml:space="preserve"> → </t>
    </r>
    <r>
      <rPr>
        <b/>
        <sz val="11"/>
        <color theme="1"/>
        <rFont val="Calibri"/>
        <family val="2"/>
        <scheme val="minor"/>
      </rPr>
      <t>0</t>
    </r>
  </si>
  <si>
    <r>
      <t>IBIs ptes.</t>
    </r>
    <r>
      <rPr>
        <sz val="11"/>
        <color theme="1"/>
        <rFont val="Calibri"/>
        <family val="2"/>
        <scheme val="minor"/>
      </rPr>
      <t xml:space="preserve"> → </t>
    </r>
    <r>
      <rPr>
        <b/>
        <sz val="11"/>
        <color theme="1"/>
        <rFont val="Calibri"/>
        <family val="2"/>
        <scheme val="minor"/>
      </rPr>
      <t>0</t>
    </r>
  </si>
  <si>
    <r>
      <t>Comunidad ptes.</t>
    </r>
    <r>
      <rPr>
        <sz val="11"/>
        <color theme="1"/>
        <rFont val="Calibri"/>
        <family val="2"/>
        <scheme val="minor"/>
      </rPr>
      <t xml:space="preserve"> → </t>
    </r>
    <r>
      <rPr>
        <b/>
        <sz val="11"/>
        <color theme="1"/>
        <rFont val="Calibri"/>
        <family val="2"/>
        <scheme val="minor"/>
      </rPr>
      <t>0</t>
    </r>
  </si>
  <si>
    <r>
      <t>Lavado cara (CAPEX)</t>
    </r>
    <r>
      <rPr>
        <sz val="11"/>
        <color theme="1"/>
        <rFont val="Calibri"/>
        <family val="2"/>
        <scheme val="minor"/>
      </rPr>
      <t xml:space="preserve"> → </t>
    </r>
    <r>
      <rPr>
        <b/>
        <sz val="11"/>
        <color theme="1"/>
        <rFont val="Calibri"/>
        <family val="2"/>
        <scheme val="minor"/>
      </rPr>
      <t>0</t>
    </r>
  </si>
  <si>
    <t>Total gatos acuerdos</t>
  </si>
  <si>
    <t>No disponible (o introduce  el valor)</t>
  </si>
  <si>
    <t>Valor de referencia catastral (€)**</t>
  </si>
  <si>
    <t>** Si valor de referencia es No disponible toma Valor de mercado</t>
  </si>
  <si>
    <t>Otros costes iniciales (€)*</t>
  </si>
  <si>
    <t>* Si hay acuerdo con el deudor los suma</t>
  </si>
  <si>
    <t>Meses hasta Exit Value (efectivo)</t>
  </si>
  <si>
    <t xml:space="preserve">Coste gestión mensual </t>
  </si>
  <si>
    <t>Resultado subasta</t>
  </si>
  <si>
    <t>Exit value</t>
  </si>
  <si>
    <t>Exit Value = MIN(Puja Máxima (P), Deuda Total (D))</t>
  </si>
  <si>
    <t>8. Adj. Tercero</t>
  </si>
  <si>
    <t>7. Adj. Ejecutante</t>
  </si>
  <si>
    <t>EXIT VALUE =ValorMercadoHoy*(1+g)^(MesesHastaSubasta/12)</t>
  </si>
  <si>
    <t>Supuestos Subasta</t>
  </si>
  <si>
    <t>Meses hasta Subasta o Registro</t>
  </si>
  <si>
    <t>En subasta de vivienda habitual del deudor, el remate no se aprueba por debajo del 70% del valor de subasta, salvo que sea por la deuda; en ese caso, nunca por menos del 60%. Si no es vivienda habitual, en subasta desierta el acreedor puede adjudicarse el inmueble por el 50% del valor de subasta o por la cantidad debida.”</t>
  </si>
  <si>
    <t>Total deuda (€) a la fecha de compra</t>
  </si>
  <si>
    <t>Actualiada a la subasta</t>
  </si>
  <si>
    <t>Total deuda liquidada a la subasta</t>
  </si>
  <si>
    <t>Tasa de interés recalculo deuda</t>
  </si>
  <si>
    <t xml:space="preserve">El presente archivo (“Tu Calculadora ROI NPL — Inmubi”, en adelante, el “Archivo”) se facilita exclusivamente con fines informativos, orientativos y de simulación. Su uso implica la aceptación plena de este Aviso Legal.
1) Naturaleza del Archivo. No asesoramiento. No oferta.
El Archivo no constituye asesoramiento financiero, jurídico, fiscal, contable, de inversión o de negocio; no es recomendación personalizada; no es oferta, invitación, solicitud, ni propuesta vinculante para adquirir o transmitir créditos/NPL, inmuebles o cualquier otro activo. Cualquier decisión basada en el Archivo será adoptada bajo la exclusiva responsabilidad del receptor.
2) Herramienta “tal cual” (AS IS). Sin garantías.
El Archivo se entrega “tal cual”, sin garantías de ningún tipo (expresas o implícitas) respecto de su exactitud, integridad, actualidad, idoneidad, ausencia de errores, funcionamiento de fórmulas, resultados o adecuación a un propósito concreto.
3) Estimaciones y supuestos. Resultados no garantizados.
Los outputs (ROI, TIR, NPV, plazos, recobro, descuentos, costes judiciales/extrajudiciales, etc.) son estimaciones basadas en supuestos que pueden no verificarse. Los resultados reales pueden diferir materialmente por factores externos (situación procesal, solvencia, plazos judiciales, costes reales, negociación, ejecución, mercado, fiscalidad, cargas, etc.). No se garantiza que las proyecciones se alcancen.
4) Diligencia del receptor y verificación independiente.
El receptor debe verificar datos, fórmulas, hipótesis y resultados; realizar su propia due diligence; y obtener asesoramiento independiente (legal, fiscal y financiero) antes de tomar decisiones.
5) Exoneración y limitación de responsabilidad (máximo permitido por ley).
En la máxima medida permitida por la normativa aplicable, el remitente no será responsable de daños o perjuicios derivados del uso, mal uso, interpretación, imposibilidad de uso, errores, omisiones, inexactitudes o falta de actualización del Archivo, incluyendo daños directos o indirectos, lucro cesante, pérdida de oportunidad, pérdida de negocio, costes, sanciones o reclamaciones de terceros.
Esta limitación se entiende sin perjuicio de la responsabilidad que no pueda excluirse legalmente, incluyendo supuestos de dolo o culpa grave (Código Civil) y, en su caso, las limitaciones aplicables en materia de consumidores y usuarios.
6) No relación contractual / mandato / agencia.
La entrega del Archivo no crea relación de asesoramiento, mandato, agencia, comisión, relación fiduciaria, ni obligación de seguimiento o actualización. Cualquier operación requerirá negociación y formalización independiente.
7) Confidencialidad, propiedad y uso.
El Archivo y su contenido son confidenciales. Queda prohibida su reproducción, distribución o comunicación a terceros sin autorización expresa del remitente.
</t>
  </si>
  <si>
    <t>Selección de escenario</t>
  </si>
  <si>
    <t>Datos del activo</t>
  </si>
  <si>
    <t>Datos del deudor</t>
  </si>
  <si>
    <t xml:space="preserve"> Subasta (opcional)</t>
  </si>
  <si>
    <t>Supuestos del modelo</t>
  </si>
  <si>
    <t>Escenarios (inputs)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</si>
</sst>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 #,##0"/>
    <numFmt numFmtId="165" formatCode="0.0%"/>
    <numFmt numFmtId="166" formatCode="0.000%"/>
    <numFmt numFmtId="167" formatCode="\€\ #,##0_);[Red]\(\€\ #,##0\)"/>
    <numFmt numFmtId="168" formatCode="#,##0&quot; €&quot;"/>
    <numFmt numFmtId="169" formatCode="_-* #,##0\ &quot;€&quot;_-;\-* #,##0\ &quot;€&quot;_-;_-* &quot;-&quot;??\ &quot;€&quot;_-;_-@_-"/>
    <numFmt numFmtId="176" formatCode="_-* #,##0_-;\-* #,##0_-;_-* &quot;-&quot;??_-;_-@_-"/>
  </numFmts>
  <fonts count="36">
    <font>
      <sz val="11"/>
      <color theme="1"/>
      <name val="Calibri"/>
      <family val="2"/>
      <scheme val="minor"/>
    </font>
    <font>
      <b/>
      <sz val="16"/>
      <color rgb="FFFFFFFF"/>
      <name val="Lato"/>
    </font>
    <font>
      <b/>
      <sz val="10"/>
      <color rgb="FF111111"/>
      <name val="Lato"/>
    </font>
    <font>
      <sz val="10"/>
      <color rgb="FF111111"/>
      <name val="Lato"/>
    </font>
    <font>
      <b/>
      <sz val="12"/>
      <color rgb="FFFFFFFF"/>
      <name val="Lato"/>
    </font>
    <font>
      <b/>
      <sz val="10"/>
      <name val="Lato"/>
    </font>
    <font>
      <sz val="10"/>
      <name val="Lato"/>
    </font>
    <font>
      <sz val="11"/>
      <color theme="1"/>
      <name val="Calibri"/>
      <family val="2"/>
      <scheme val="minor"/>
    </font>
    <font>
      <b/>
      <sz val="11"/>
      <color theme="1"/>
      <name val="Calibri"/>
      <family val="2"/>
      <scheme val="minor"/>
    </font>
    <font>
      <sz val="10"/>
      <color theme="1"/>
      <name val="Arial Unicode MS"/>
      <family val="2"/>
    </font>
    <font>
      <i/>
      <sz val="10"/>
      <color rgb="FF111111"/>
      <name val="Lato"/>
    </font>
    <font>
      <i/>
      <sz val="8"/>
      <color rgb="FF111111"/>
      <name val="Lato"/>
    </font>
    <font>
      <b/>
      <sz val="10"/>
      <color rgb="FF00B050"/>
      <name val="Lato"/>
    </font>
    <font>
      <b/>
      <sz val="11"/>
      <color rgb="FF00B050"/>
      <name val="Calibri"/>
      <family val="2"/>
      <scheme val="minor"/>
    </font>
    <font>
      <sz val="11"/>
      <color theme="1"/>
      <name val="Lato Regular"/>
    </font>
    <font>
      <b/>
      <sz val="11"/>
      <color rgb="FFFFFFFF"/>
      <name val="Lato Regular"/>
    </font>
    <font>
      <b/>
      <sz val="10"/>
      <color rgb="FF111111"/>
      <name val="Lato Regular"/>
    </font>
    <font>
      <b/>
      <sz val="10"/>
      <color rgb="FF00B0F0"/>
      <name val="Lato Regular"/>
    </font>
    <font>
      <b/>
      <sz val="11"/>
      <color rgb="FF00B0F0"/>
      <name val="Lato Regular"/>
    </font>
    <font>
      <b/>
      <sz val="22"/>
      <color rgb="FFFFFFFF"/>
      <name val="Lato Regular"/>
    </font>
    <font>
      <sz val="22"/>
      <color theme="1"/>
      <name val="Lato Regular"/>
    </font>
    <font>
      <sz val="10"/>
      <color theme="1"/>
      <name val="Lato Regular"/>
    </font>
    <font>
      <b/>
      <sz val="10"/>
      <color rgb="FFFFFFFF"/>
      <name val="Lato Regular"/>
    </font>
    <font>
      <b/>
      <sz val="10"/>
      <color theme="1"/>
      <name val="Lato Regular"/>
    </font>
    <font>
      <b/>
      <sz val="10"/>
      <name val="Lato Regular"/>
    </font>
    <font>
      <sz val="12"/>
      <color theme="1"/>
      <name val="Aptos"/>
    </font>
    <font>
      <b/>
      <sz val="11"/>
      <color theme="1"/>
      <name val="Lato Regular"/>
    </font>
    <font>
      <b/>
      <sz val="11"/>
      <color rgb="FF111111"/>
      <name val="Lato Regular"/>
    </font>
    <font>
      <sz val="11"/>
      <color rgb="FF111111"/>
      <name val="Lato Regular"/>
    </font>
    <font>
      <sz val="11"/>
      <color rgb="FF008000"/>
      <name val="Lato Regular"/>
    </font>
    <font>
      <sz val="8"/>
      <color theme="1"/>
      <name val="Lato Regular"/>
    </font>
    <font>
      <sz val="12"/>
      <name val="Lato Regular"/>
    </font>
    <font>
      <sz val="12"/>
      <color theme="1"/>
      <name val="Lato Regular"/>
    </font>
    <font>
      <b/>
      <sz val="22"/>
      <color rgb="FFFFFFFF"/>
      <name val="Lato"/>
    </font>
    <font>
      <sz val="22"/>
      <color theme="1"/>
      <name val="Calibri"/>
      <family val="2"/>
      <scheme val="minor"/>
    </font>
    <font>
      <b/>
      <sz val="18"/>
      <color rgb="FFFFFFFF"/>
      <name val="Lato"/>
    </font>
  </fonts>
  <fills count="9">
    <fill>
      <patternFill patternType="none"/>
    </fill>
    <fill>
      <patternFill patternType="gray125"/>
    </fill>
    <fill>
      <patternFill patternType="solid">
        <fgColor rgb="FF03B5C3"/>
      </patternFill>
    </fill>
    <fill>
      <patternFill patternType="solid">
        <fgColor rgb="FF0B0F14"/>
      </patternFill>
    </fill>
    <fill>
      <patternFill patternType="solid">
        <fgColor rgb="FFF3FBFC"/>
      </patternFill>
    </fill>
    <fill>
      <patternFill patternType="solid">
        <fgColor rgb="FFE6F7F9"/>
      </patternFill>
    </fill>
    <fill>
      <patternFill patternType="solid">
        <fgColor rgb="FFE9FBFC"/>
      </patternFill>
    </fill>
    <fill>
      <patternFill patternType="solid">
        <fgColor rgb="FFF7F7F7"/>
      </patternFill>
    </fill>
    <fill>
      <patternFill patternType="solid">
        <fgColor theme="0"/>
        <bgColor indexed="64"/>
      </patternFill>
    </fill>
  </fills>
  <borders count="34">
    <border>
      <left/>
      <right/>
      <top/>
      <bottom/>
      <diagonal/>
    </border>
    <border>
      <left style="thin">
        <color rgb="FFD0D7DE"/>
      </left>
      <right style="thin">
        <color rgb="FFD0D7DE"/>
      </right>
      <top style="thin">
        <color rgb="FFD0D7DE"/>
      </top>
      <bottom style="thin">
        <color rgb="FFD0D7DE"/>
      </bottom>
      <diagonal/>
    </border>
    <border>
      <left/>
      <right style="thin">
        <color rgb="FFD0D7DE"/>
      </right>
      <top style="thin">
        <color rgb="FFD0D7DE"/>
      </top>
      <bottom style="thin">
        <color rgb="FFD0D7DE"/>
      </bottom>
      <diagonal/>
    </border>
    <border>
      <left style="thin">
        <color rgb="FFD0D0D0"/>
      </left>
      <right style="thin">
        <color rgb="FFD0D0D0"/>
      </right>
      <top style="thin">
        <color rgb="FFD0D0D0"/>
      </top>
      <bottom style="thin">
        <color rgb="FFD0D0D0"/>
      </bottom>
      <diagonal/>
    </border>
    <border>
      <left/>
      <right/>
      <top style="thin">
        <color rgb="FFD0D0D0"/>
      </top>
      <bottom/>
      <diagonal/>
    </border>
    <border>
      <left style="thin">
        <color rgb="FFD0D0D0"/>
      </left>
      <right/>
      <top/>
      <bottom/>
      <diagonal/>
    </border>
    <border>
      <left/>
      <right style="thin">
        <color rgb="FFD0D0D0"/>
      </right>
      <top style="thin">
        <color rgb="FFD0D0D0"/>
      </top>
      <bottom/>
      <diagonal/>
    </border>
    <border>
      <left/>
      <right style="thin">
        <color rgb="FFD0D0D0"/>
      </right>
      <top/>
      <bottom/>
      <diagonal/>
    </border>
    <border>
      <left style="thin">
        <color rgb="FFD0D0D0"/>
      </left>
      <right/>
      <top/>
      <bottom style="thin">
        <color rgb="FFD0D0D0"/>
      </bottom>
      <diagonal/>
    </border>
    <border>
      <left/>
      <right/>
      <top/>
      <bottom style="thin">
        <color rgb="FFD0D0D0"/>
      </bottom>
      <diagonal/>
    </border>
    <border>
      <left/>
      <right style="thin">
        <color rgb="FFD0D0D0"/>
      </right>
      <top/>
      <bottom style="thin">
        <color rgb="FFD0D0D0"/>
      </bottom>
      <diagonal/>
    </border>
    <border>
      <left style="thin">
        <color rgb="FFD9D9D9"/>
      </left>
      <right style="thin">
        <color rgb="FFD9D9D9"/>
      </right>
      <top style="thin">
        <color rgb="FFD9D9D9"/>
      </top>
      <bottom style="thin">
        <color rgb="FFD9D9D9"/>
      </bottom>
      <diagonal/>
    </border>
    <border>
      <left/>
      <right style="thin">
        <color rgb="FFD9D9D9"/>
      </right>
      <top style="thin">
        <color rgb="FFD9D9D9"/>
      </top>
      <bottom style="thin">
        <color rgb="FFD9D9D9"/>
      </bottom>
      <diagonal/>
    </border>
    <border>
      <left/>
      <right/>
      <top style="thin">
        <color rgb="FFD9D9D9"/>
      </top>
      <bottom style="thin">
        <color rgb="FFD9D9D9"/>
      </bottom>
      <diagonal/>
    </border>
    <border>
      <left style="thin">
        <color rgb="FFD9D9D9"/>
      </left>
      <right/>
      <top style="thin">
        <color rgb="FFD9D9D9"/>
      </top>
      <bottom/>
      <diagonal/>
    </border>
    <border>
      <left/>
      <right/>
      <top style="thin">
        <color rgb="FFD9D9D9"/>
      </top>
      <bottom/>
      <diagonal/>
    </border>
    <border>
      <left style="thin">
        <color indexed="64"/>
      </left>
      <right style="thin">
        <color indexed="64"/>
      </right>
      <top style="thin">
        <color indexed="64"/>
      </top>
      <bottom style="thin">
        <color indexed="64"/>
      </bottom>
      <diagonal/>
    </border>
    <border>
      <left style="thin">
        <color rgb="FFD0D7DE"/>
      </left>
      <right style="thin">
        <color rgb="FFD0D7DE"/>
      </right>
      <top style="thin">
        <color rgb="FFD0D7DE"/>
      </top>
      <bottom/>
      <diagonal/>
    </border>
    <border>
      <left style="thin">
        <color rgb="FFD9D9D9"/>
      </left>
      <right style="thin">
        <color rgb="FFD9D9D9"/>
      </right>
      <top style="thin">
        <color rgb="FFD9D9D9"/>
      </top>
      <bottom/>
      <diagonal/>
    </border>
    <border>
      <left style="medium">
        <color indexed="64"/>
      </left>
      <right/>
      <top style="medium">
        <color indexed="64"/>
      </top>
      <bottom style="thin">
        <color rgb="FFD9D9D9"/>
      </bottom>
      <diagonal/>
    </border>
    <border>
      <left/>
      <right style="medium">
        <color indexed="64"/>
      </right>
      <top style="medium">
        <color indexed="64"/>
      </top>
      <bottom style="thin">
        <color rgb="FFD9D9D9"/>
      </bottom>
      <diagonal/>
    </border>
    <border>
      <left style="medium">
        <color indexed="64"/>
      </left>
      <right style="thin">
        <color rgb="FFD9D9D9"/>
      </right>
      <top style="thin">
        <color rgb="FFD9D9D9"/>
      </top>
      <bottom style="thin">
        <color rgb="FFD9D9D9"/>
      </bottom>
      <diagonal/>
    </border>
    <border>
      <left style="thin">
        <color rgb="FFD9D9D9"/>
      </left>
      <right style="medium">
        <color indexed="64"/>
      </right>
      <top style="thin">
        <color rgb="FFD9D9D9"/>
      </top>
      <bottom style="thin">
        <color rgb="FFD9D9D9"/>
      </bottom>
      <diagonal/>
    </border>
    <border>
      <left style="medium">
        <color indexed="64"/>
      </left>
      <right/>
      <top/>
      <bottom style="thin">
        <color rgb="FFD9D9D9"/>
      </bottom>
      <diagonal/>
    </border>
    <border>
      <left/>
      <right style="medium">
        <color indexed="64"/>
      </right>
      <top/>
      <bottom style="thin">
        <color rgb="FFD9D9D9"/>
      </bottom>
      <diagonal/>
    </border>
    <border>
      <left style="medium">
        <color indexed="64"/>
      </left>
      <right style="thin">
        <color rgb="FFD9D9D9"/>
      </right>
      <top style="thin">
        <color rgb="FFD9D9D9"/>
      </top>
      <bottom style="medium">
        <color indexed="64"/>
      </bottom>
      <diagonal/>
    </border>
    <border>
      <left style="thin">
        <color rgb="FFD9D9D9"/>
      </left>
      <right style="medium">
        <color indexed="64"/>
      </right>
      <top style="thin">
        <color rgb="FFD9D9D9"/>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rgb="FFD9D9D9"/>
      </top>
      <bottom style="thin">
        <color rgb="FFD9D9D9"/>
      </bottom>
      <diagonal/>
    </border>
    <border>
      <left style="medium">
        <color indexed="64"/>
      </left>
      <right/>
      <top style="thin">
        <color rgb="FFD9D9D9"/>
      </top>
      <bottom style="medium">
        <color indexed="64"/>
      </bottom>
      <diagonal/>
    </border>
    <border>
      <left/>
      <right style="medium">
        <color indexed="64"/>
      </right>
      <top style="thin">
        <color rgb="FFD9D9D9"/>
      </top>
      <bottom style="medium">
        <color indexed="64"/>
      </bottom>
      <diagonal/>
    </border>
  </borders>
  <cellStyleXfs count="4">
    <xf numFmtId="0" fontId="0" fillId="0" borderId="0"/>
    <xf numFmtId="44" fontId="7" fillId="0" borderId="0"/>
    <xf numFmtId="9" fontId="7" fillId="0" borderId="0"/>
    <xf numFmtId="43" fontId="7" fillId="0" borderId="0" applyFont="0" applyFill="0" applyBorder="0" applyAlignment="0" applyProtection="0"/>
  </cellStyleXfs>
  <cellXfs count="115">
    <xf numFmtId="0" fontId="0" fillId="0" borderId="0" xfId="0"/>
    <xf numFmtId="0" fontId="0" fillId="0" borderId="0" xfId="0" applyProtection="1">
      <protection locked="0"/>
    </xf>
    <xf numFmtId="0" fontId="0" fillId="0" borderId="12" xfId="0" applyBorder="1" applyProtection="1">
      <protection locked="0"/>
    </xf>
    <xf numFmtId="0" fontId="0" fillId="0" borderId="13" xfId="0" applyBorder="1" applyProtection="1">
      <protection locked="0"/>
    </xf>
    <xf numFmtId="0" fontId="5" fillId="7" borderId="11" xfId="0" applyFont="1" applyFill="1" applyBorder="1" applyAlignment="1" applyProtection="1">
      <alignment horizontal="left" vertical="center"/>
      <protection locked="0"/>
    </xf>
    <xf numFmtId="0" fontId="8" fillId="0" borderId="0" xfId="0" applyFont="1" applyProtection="1">
      <protection locked="0"/>
    </xf>
    <xf numFmtId="0" fontId="6" fillId="7" borderId="11" xfId="0" applyFont="1" applyFill="1" applyBorder="1" applyAlignment="1" applyProtection="1">
      <alignment horizontal="left" vertical="center"/>
      <protection locked="0"/>
    </xf>
    <xf numFmtId="168" fontId="12" fillId="6" borderId="11" xfId="0" applyNumberFormat="1" applyFont="1" applyFill="1" applyBorder="1" applyAlignment="1" applyProtection="1">
      <alignment horizontal="left" vertical="center"/>
      <protection locked="0"/>
    </xf>
    <xf numFmtId="1" fontId="12" fillId="6" borderId="11" xfId="0" applyNumberFormat="1" applyFont="1" applyFill="1" applyBorder="1" applyAlignment="1" applyProtection="1">
      <alignment horizontal="left" vertical="center"/>
      <protection locked="0"/>
    </xf>
    <xf numFmtId="9" fontId="13" fillId="0" borderId="0" xfId="2" applyFont="1" applyProtection="1">
      <protection locked="0"/>
    </xf>
    <xf numFmtId="10" fontId="13" fillId="0" borderId="0" xfId="0" applyNumberFormat="1" applyFont="1" applyProtection="1">
      <protection locked="0"/>
    </xf>
    <xf numFmtId="169" fontId="13" fillId="0" borderId="0" xfId="1" applyNumberFormat="1" applyFont="1" applyProtection="1">
      <protection locked="0"/>
    </xf>
    <xf numFmtId="165" fontId="12" fillId="6" borderId="11" xfId="0" applyNumberFormat="1" applyFont="1" applyFill="1" applyBorder="1" applyAlignment="1" applyProtection="1">
      <alignment horizontal="left" vertical="center"/>
      <protection locked="0"/>
    </xf>
    <xf numFmtId="0" fontId="14" fillId="0" borderId="0" xfId="0" applyFont="1"/>
    <xf numFmtId="0" fontId="14" fillId="0" borderId="0" xfId="0" applyFont="1"/>
    <xf numFmtId="0" fontId="15" fillId="3" borderId="0" xfId="0" applyFont="1" applyFill="1" applyAlignment="1">
      <alignment horizontal="left" vertical="center" wrapText="1"/>
    </xf>
    <xf numFmtId="0" fontId="16" fillId="4"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4" fillId="0" borderId="2" xfId="0" applyFont="1" applyBorder="1"/>
    <xf numFmtId="168" fontId="18" fillId="0" borderId="0" xfId="0" applyNumberFormat="1" applyFont="1"/>
    <xf numFmtId="1" fontId="14" fillId="0" borderId="0" xfId="0" applyNumberFormat="1" applyFont="1"/>
    <xf numFmtId="0" fontId="15" fillId="3" borderId="1" xfId="0" applyFont="1" applyFill="1" applyBorder="1" applyAlignment="1">
      <alignment horizontal="center" vertical="center" wrapText="1"/>
    </xf>
    <xf numFmtId="1" fontId="14" fillId="4" borderId="1" xfId="0" applyNumberFormat="1" applyFont="1" applyFill="1" applyBorder="1" applyAlignment="1">
      <alignment horizontal="center" vertical="center" wrapText="1"/>
    </xf>
    <xf numFmtId="167" fontId="14" fillId="4" borderId="1" xfId="0" applyNumberFormat="1" applyFont="1" applyFill="1" applyBorder="1" applyAlignment="1">
      <alignment horizontal="right" vertical="center" wrapText="1"/>
    </xf>
    <xf numFmtId="0" fontId="14" fillId="4" borderId="1" xfId="0" applyFont="1" applyFill="1" applyBorder="1" applyAlignment="1">
      <alignment horizontal="left" vertical="center" wrapText="1"/>
    </xf>
    <xf numFmtId="0" fontId="19" fillId="2" borderId="0" xfId="0" applyFont="1" applyFill="1" applyAlignment="1">
      <alignment horizontal="left" vertical="center" wrapText="1"/>
    </xf>
    <xf numFmtId="0" fontId="20" fillId="0" borderId="0" xfId="0" applyFont="1"/>
    <xf numFmtId="0" fontId="14" fillId="4" borderId="0" xfId="0" applyFont="1" applyFill="1" applyAlignment="1">
      <alignment horizontal="left" vertical="center" wrapText="1"/>
    </xf>
    <xf numFmtId="0" fontId="17" fillId="5" borderId="1" xfId="0" applyFont="1" applyFill="1" applyBorder="1" applyAlignment="1">
      <alignment horizontal="left" vertical="center" wrapText="1"/>
    </xf>
    <xf numFmtId="0" fontId="21" fillId="0" borderId="0" xfId="0" applyFont="1"/>
    <xf numFmtId="0" fontId="22" fillId="3" borderId="0" xfId="0" applyFont="1" applyFill="1" applyAlignment="1">
      <alignment horizontal="left" vertical="center" wrapText="1"/>
    </xf>
    <xf numFmtId="0" fontId="21" fillId="0" borderId="0" xfId="0" applyFont="1"/>
    <xf numFmtId="168" fontId="17" fillId="4" borderId="1" xfId="0" applyNumberFormat="1" applyFont="1" applyFill="1" applyBorder="1" applyAlignment="1">
      <alignment horizontal="right" vertical="center" wrapText="1"/>
    </xf>
    <xf numFmtId="168" fontId="16" fillId="4" borderId="1" xfId="0" applyNumberFormat="1" applyFont="1" applyFill="1" applyBorder="1" applyAlignment="1">
      <alignment horizontal="right" vertical="center" wrapText="1"/>
    </xf>
    <xf numFmtId="165" fontId="16" fillId="4" borderId="1" xfId="0" applyNumberFormat="1" applyFont="1" applyFill="1" applyBorder="1" applyAlignment="1">
      <alignment horizontal="right" vertical="center" wrapText="1"/>
    </xf>
    <xf numFmtId="1" fontId="16" fillId="4" borderId="1" xfId="0" applyNumberFormat="1" applyFont="1" applyFill="1" applyBorder="1" applyAlignment="1">
      <alignment horizontal="right" vertical="center" wrapText="1"/>
    </xf>
    <xf numFmtId="0" fontId="16" fillId="4" borderId="17" xfId="0" applyFont="1" applyFill="1" applyBorder="1" applyAlignment="1">
      <alignment horizontal="left" vertical="center" wrapText="1"/>
    </xf>
    <xf numFmtId="0" fontId="23" fillId="0" borderId="0" xfId="0" applyFont="1"/>
    <xf numFmtId="0" fontId="24" fillId="7" borderId="18" xfId="0" applyFont="1" applyFill="1" applyBorder="1" applyAlignment="1">
      <alignment horizontal="left" vertical="center"/>
    </xf>
    <xf numFmtId="168" fontId="17" fillId="8" borderId="16" xfId="0" applyNumberFormat="1" applyFont="1" applyFill="1" applyBorder="1" applyAlignment="1">
      <alignment horizontal="center" vertical="center" wrapText="1"/>
    </xf>
    <xf numFmtId="9" fontId="18" fillId="8" borderId="16" xfId="2" applyFont="1" applyFill="1" applyBorder="1" applyAlignment="1">
      <alignment horizontal="center"/>
    </xf>
    <xf numFmtId="0" fontId="25" fillId="0" borderId="0" xfId="0" applyFont="1" applyAlignment="1">
      <alignment vertical="center"/>
    </xf>
    <xf numFmtId="0" fontId="26" fillId="0" borderId="0" xfId="0" applyFont="1"/>
    <xf numFmtId="0" fontId="27" fillId="4"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164" fontId="18" fillId="5" borderId="1" xfId="0" applyNumberFormat="1" applyFont="1" applyFill="1" applyBorder="1" applyAlignment="1">
      <alignment horizontal="right" vertical="center" wrapText="1"/>
    </xf>
    <xf numFmtId="165" fontId="18" fillId="4" borderId="1" xfId="0" applyNumberFormat="1" applyFont="1" applyFill="1" applyBorder="1" applyAlignment="1">
      <alignment horizontal="right" vertical="center" wrapText="1"/>
    </xf>
    <xf numFmtId="1" fontId="18" fillId="5" borderId="1" xfId="0" applyNumberFormat="1" applyFont="1" applyFill="1" applyBorder="1" applyAlignment="1">
      <alignment horizontal="right" vertical="center" wrapText="1"/>
    </xf>
    <xf numFmtId="164" fontId="18" fillId="4" borderId="1" xfId="0" applyNumberFormat="1" applyFont="1" applyFill="1" applyBorder="1" applyAlignment="1">
      <alignment horizontal="right" vertical="center" wrapText="1"/>
    </xf>
    <xf numFmtId="168" fontId="27" fillId="4" borderId="1" xfId="0" applyNumberFormat="1" applyFont="1" applyFill="1" applyBorder="1" applyAlignment="1">
      <alignment horizontal="right" vertical="center" wrapText="1"/>
    </xf>
    <xf numFmtId="164" fontId="27" fillId="4" borderId="1" xfId="0" applyNumberFormat="1" applyFont="1" applyFill="1" applyBorder="1" applyAlignment="1">
      <alignment horizontal="right" vertical="center" wrapText="1"/>
    </xf>
    <xf numFmtId="1" fontId="28" fillId="4" borderId="1" xfId="0" applyNumberFormat="1" applyFont="1" applyFill="1" applyBorder="1" applyAlignment="1">
      <alignment horizontal="right" vertical="center" wrapText="1"/>
    </xf>
    <xf numFmtId="164" fontId="28" fillId="4" borderId="1" xfId="0" applyNumberFormat="1" applyFont="1" applyFill="1" applyBorder="1" applyAlignment="1">
      <alignment horizontal="right" vertical="center" wrapText="1"/>
    </xf>
    <xf numFmtId="165" fontId="27" fillId="4" borderId="1" xfId="0" applyNumberFormat="1" applyFont="1" applyFill="1" applyBorder="1" applyAlignment="1">
      <alignment horizontal="right" vertical="center" wrapText="1"/>
    </xf>
    <xf numFmtId="166" fontId="28" fillId="4" borderId="1" xfId="0" applyNumberFormat="1" applyFont="1" applyFill="1" applyBorder="1" applyAlignment="1">
      <alignment horizontal="right" vertical="center" wrapText="1"/>
    </xf>
    <xf numFmtId="0" fontId="27" fillId="4" borderId="0" xfId="0" applyFont="1" applyFill="1" applyBorder="1" applyAlignment="1">
      <alignment horizontal="left" vertical="center" wrapText="1"/>
    </xf>
    <xf numFmtId="165" fontId="27" fillId="4" borderId="0" xfId="0" applyNumberFormat="1" applyFont="1" applyFill="1" applyBorder="1" applyAlignment="1">
      <alignment horizontal="right" vertical="center" wrapText="1"/>
    </xf>
    <xf numFmtId="166" fontId="27" fillId="4" borderId="1" xfId="0" applyNumberFormat="1" applyFont="1" applyFill="1" applyBorder="1" applyAlignment="1">
      <alignment horizontal="right" vertical="center" wrapText="1"/>
    </xf>
    <xf numFmtId="165" fontId="29" fillId="0" borderId="0" xfId="0" applyNumberFormat="1" applyFont="1"/>
    <xf numFmtId="164" fontId="29" fillId="0" borderId="0" xfId="0" applyNumberFormat="1" applyFont="1"/>
    <xf numFmtId="0" fontId="14" fillId="0" borderId="0" xfId="0" applyFont="1" applyAlignment="1">
      <alignment wrapText="1"/>
    </xf>
    <xf numFmtId="164" fontId="14" fillId="0" borderId="0" xfId="0" applyNumberFormat="1" applyFont="1"/>
    <xf numFmtId="0" fontId="15" fillId="3" borderId="0" xfId="0" applyFont="1" applyFill="1" applyAlignment="1">
      <alignment vertical="center" wrapText="1"/>
    </xf>
    <xf numFmtId="0" fontId="14" fillId="0" borderId="0" xfId="0" applyFont="1" applyAlignment="1"/>
    <xf numFmtId="0" fontId="19" fillId="2" borderId="0" xfId="0" applyFont="1" applyFill="1" applyAlignment="1">
      <alignment horizontal="left" vertical="center"/>
    </xf>
    <xf numFmtId="0" fontId="31" fillId="6" borderId="3" xfId="0" applyFont="1" applyFill="1" applyBorder="1" applyAlignment="1">
      <alignment vertical="top" wrapText="1"/>
    </xf>
    <xf numFmtId="0" fontId="32" fillId="0" borderId="4" xfId="0" applyFont="1" applyBorder="1"/>
    <xf numFmtId="0" fontId="32" fillId="0" borderId="6" xfId="0" applyFont="1" applyBorder="1"/>
    <xf numFmtId="0" fontId="32" fillId="0" borderId="5" xfId="0" applyFont="1" applyBorder="1"/>
    <xf numFmtId="0" fontId="32" fillId="0" borderId="0" xfId="0" applyFont="1"/>
    <xf numFmtId="0" fontId="32" fillId="0" borderId="7" xfId="0" applyFont="1" applyBorder="1"/>
    <xf numFmtId="0" fontId="32" fillId="0" borderId="8" xfId="0" applyFont="1" applyBorder="1"/>
    <xf numFmtId="0" fontId="32" fillId="0" borderId="9" xfId="0" applyFont="1" applyBorder="1"/>
    <xf numFmtId="0" fontId="32" fillId="0" borderId="10" xfId="0" applyFont="1" applyBorder="1"/>
    <xf numFmtId="0" fontId="30" fillId="0" borderId="0" xfId="0" applyFont="1" applyBorder="1" applyAlignment="1">
      <alignment horizontal="left" wrapText="1"/>
    </xf>
    <xf numFmtId="0" fontId="33" fillId="2" borderId="0" xfId="0" applyFont="1" applyFill="1" applyAlignment="1" applyProtection="1">
      <alignment horizontal="left" vertical="center"/>
      <protection locked="0"/>
    </xf>
    <xf numFmtId="0" fontId="34" fillId="0" borderId="0" xfId="0" applyFont="1" applyProtection="1">
      <protection locked="0"/>
    </xf>
    <xf numFmtId="0" fontId="35" fillId="2" borderId="19" xfId="0" applyFont="1" applyFill="1" applyBorder="1" applyAlignment="1" applyProtection="1">
      <alignment horizontal="center" vertical="center"/>
      <protection locked="0"/>
    </xf>
    <xf numFmtId="0" fontId="35" fillId="2" borderId="20" xfId="0" applyFont="1" applyFill="1" applyBorder="1" applyAlignment="1" applyProtection="1">
      <alignment horizontal="center" vertical="center"/>
      <protection locked="0"/>
    </xf>
    <xf numFmtId="0" fontId="2" fillId="0" borderId="21" xfId="0" applyFont="1" applyBorder="1" applyAlignment="1" applyProtection="1">
      <alignment horizontal="left" vertical="center"/>
      <protection locked="0"/>
    </xf>
    <xf numFmtId="0" fontId="12" fillId="6" borderId="22" xfId="0" applyFont="1" applyFill="1" applyBorder="1" applyAlignment="1" applyProtection="1">
      <alignment horizontal="left" vertical="center"/>
      <protection locked="0"/>
    </xf>
    <xf numFmtId="0" fontId="35" fillId="2" borderId="23" xfId="0" applyFont="1" applyFill="1" applyBorder="1" applyAlignment="1" applyProtection="1">
      <alignment horizontal="center" vertical="center"/>
      <protection locked="0"/>
    </xf>
    <xf numFmtId="0" fontId="35" fillId="2" borderId="24" xfId="0" applyFont="1" applyFill="1" applyBorder="1" applyAlignment="1" applyProtection="1">
      <alignment horizontal="center" vertical="center"/>
      <protection locked="0"/>
    </xf>
    <xf numFmtId="0" fontId="2" fillId="0" borderId="25" xfId="0" applyFont="1" applyBorder="1" applyAlignment="1" applyProtection="1">
      <alignment horizontal="left" vertical="center"/>
      <protection locked="0"/>
    </xf>
    <xf numFmtId="0" fontId="12" fillId="6" borderId="26" xfId="0" applyFont="1" applyFill="1" applyBorder="1" applyAlignment="1" applyProtection="1">
      <alignment horizontal="left" vertical="center"/>
      <protection locked="0"/>
    </xf>
    <xf numFmtId="168" fontId="12" fillId="6" borderId="22" xfId="0" applyNumberFormat="1" applyFont="1" applyFill="1" applyBorder="1" applyAlignment="1" applyProtection="1">
      <alignment horizontal="left" vertical="center"/>
      <protection locked="0"/>
    </xf>
    <xf numFmtId="168" fontId="3" fillId="6" borderId="22" xfId="0" applyNumberFormat="1" applyFont="1" applyFill="1" applyBorder="1" applyAlignment="1" applyProtection="1">
      <alignment horizontal="left" vertical="center"/>
    </xf>
    <xf numFmtId="0" fontId="9" fillId="0" borderId="27" xfId="0" applyFont="1" applyBorder="1" applyProtection="1">
      <protection locked="0"/>
    </xf>
    <xf numFmtId="168" fontId="12" fillId="6" borderId="28" xfId="0" applyNumberFormat="1" applyFont="1" applyFill="1" applyBorder="1" applyAlignment="1" applyProtection="1">
      <alignment horizontal="left" vertical="center"/>
      <protection locked="0"/>
    </xf>
    <xf numFmtId="0" fontId="11" fillId="0" borderId="27" xfId="0" applyFont="1" applyFill="1" applyBorder="1" applyAlignment="1" applyProtection="1">
      <alignment horizontal="left" vertical="center"/>
      <protection locked="0"/>
    </xf>
    <xf numFmtId="168" fontId="3" fillId="6" borderId="28" xfId="0" applyNumberFormat="1" applyFont="1" applyFill="1" applyBorder="1" applyAlignment="1" applyProtection="1">
      <alignment horizontal="left" vertical="center"/>
      <protection locked="0"/>
    </xf>
    <xf numFmtId="0" fontId="10" fillId="0" borderId="29" xfId="0" applyFont="1" applyFill="1" applyBorder="1" applyAlignment="1" applyProtection="1">
      <alignment horizontal="left" vertical="center"/>
      <protection locked="0"/>
    </xf>
    <xf numFmtId="0" fontId="0" fillId="0" borderId="30" xfId="0" applyBorder="1" applyProtection="1">
      <protection locked="0"/>
    </xf>
    <xf numFmtId="0" fontId="3" fillId="6" borderId="22" xfId="0" applyFont="1" applyFill="1" applyBorder="1" applyAlignment="1" applyProtection="1">
      <alignment horizontal="left" vertical="center"/>
      <protection locked="0"/>
    </xf>
    <xf numFmtId="0" fontId="4" fillId="2" borderId="21" xfId="0" applyFont="1" applyFill="1" applyBorder="1" applyAlignment="1" applyProtection="1">
      <alignment horizontal="left" vertical="center"/>
      <protection locked="0"/>
    </xf>
    <xf numFmtId="0" fontId="0" fillId="0" borderId="31" xfId="0" applyBorder="1" applyProtection="1">
      <protection locked="0"/>
    </xf>
    <xf numFmtId="176" fontId="12" fillId="6" borderId="22" xfId="3" applyNumberFormat="1" applyFont="1" applyFill="1" applyBorder="1" applyAlignment="1" applyProtection="1">
      <alignment horizontal="left" vertical="center"/>
      <protection locked="0"/>
    </xf>
    <xf numFmtId="0" fontId="9" fillId="0" borderId="29" xfId="0" applyFont="1" applyBorder="1" applyProtection="1">
      <protection locked="0"/>
    </xf>
    <xf numFmtId="168" fontId="3" fillId="6" borderId="26" xfId="0" applyNumberFormat="1" applyFont="1" applyFill="1" applyBorder="1" applyAlignment="1" applyProtection="1">
      <alignment horizontal="left" vertical="center"/>
    </xf>
    <xf numFmtId="0" fontId="1" fillId="2" borderId="19" xfId="0" applyFont="1" applyFill="1" applyBorder="1" applyAlignment="1" applyProtection="1">
      <alignment vertical="center"/>
      <protection locked="0"/>
    </xf>
    <xf numFmtId="0" fontId="1" fillId="2" borderId="20" xfId="0" applyFont="1" applyFill="1" applyBorder="1" applyAlignment="1" applyProtection="1">
      <alignment vertical="center"/>
    </xf>
    <xf numFmtId="0" fontId="1" fillId="2" borderId="21" xfId="0" applyFont="1" applyFill="1" applyBorder="1" applyAlignment="1" applyProtection="1">
      <alignment vertical="center"/>
      <protection locked="0"/>
    </xf>
    <xf numFmtId="0" fontId="1" fillId="2" borderId="31" xfId="0" applyFont="1" applyFill="1" applyBorder="1" applyAlignment="1" applyProtection="1">
      <alignment vertical="center"/>
    </xf>
    <xf numFmtId="168" fontId="12" fillId="6" borderId="22" xfId="0" applyNumberFormat="1" applyFont="1" applyFill="1" applyBorder="1" applyAlignment="1" applyProtection="1">
      <alignment horizontal="left" vertical="center"/>
    </xf>
    <xf numFmtId="165" fontId="12" fillId="6" borderId="22" xfId="0" applyNumberFormat="1" applyFont="1" applyFill="1" applyBorder="1" applyAlignment="1" applyProtection="1">
      <alignment horizontal="left" vertical="center"/>
      <protection locked="0"/>
    </xf>
    <xf numFmtId="1" fontId="12" fillId="6" borderId="22" xfId="0" applyNumberFormat="1" applyFont="1" applyFill="1" applyBorder="1" applyAlignment="1" applyProtection="1">
      <alignment horizontal="left" vertical="center"/>
      <protection locked="0"/>
    </xf>
    <xf numFmtId="165" fontId="12" fillId="6" borderId="26" xfId="0" applyNumberFormat="1" applyFont="1" applyFill="1" applyBorder="1" applyAlignment="1" applyProtection="1">
      <alignment horizontal="left" vertical="center"/>
      <protection locked="0"/>
    </xf>
    <xf numFmtId="0" fontId="1" fillId="2" borderId="19"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30" fillId="0" borderId="32" xfId="0" applyFont="1" applyBorder="1" applyAlignment="1">
      <alignment horizontal="left" vertical="top" wrapText="1"/>
    </xf>
    <xf numFmtId="0" fontId="30" fillId="0" borderId="33" xfId="0" applyFont="1" applyBorder="1" applyAlignment="1">
      <alignment horizontal="left" vertical="top" wrapText="1"/>
    </xf>
    <xf numFmtId="0" fontId="0" fillId="0" borderId="27" xfId="0" applyBorder="1" applyProtection="1">
      <protection locked="0"/>
    </xf>
    <xf numFmtId="0" fontId="0" fillId="0" borderId="28" xfId="0" applyBorder="1" applyProtection="1">
      <protection locked="0"/>
    </xf>
    <xf numFmtId="0" fontId="1" fillId="2" borderId="14" xfId="0" applyFont="1" applyFill="1" applyBorder="1" applyAlignment="1" applyProtection="1">
      <alignment horizontal="left" vertical="center"/>
      <protection locked="0"/>
    </xf>
    <xf numFmtId="0" fontId="1" fillId="2" borderId="15" xfId="0" applyFont="1" applyFill="1" applyBorder="1" applyAlignment="1" applyProtection="1">
      <alignment horizontal="left" vertical="center"/>
      <protection locked="0"/>
    </xf>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5</xdr:col>
      <xdr:colOff>67732</xdr:colOff>
      <xdr:row>0</xdr:row>
      <xdr:rowOff>0</xdr:rowOff>
    </xdr:from>
    <xdr:ext cx="1685925" cy="571500"/>
    <xdr:pic>
      <xdr:nvPicPr>
        <xdr:cNvPr id="2" name="Image 1" descr="Picture">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8449732" y="0"/>
          <a:ext cx="1685925" cy="571500"/>
        </a:xfrm>
        <a:prstGeom prst="rect">
          <a:avLst/>
        </a:prstGeom>
        <a:ln>
          <a:prstDash val="solid"/>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438727</xdr:colOff>
      <xdr:row>0</xdr:row>
      <xdr:rowOff>0</xdr:rowOff>
    </xdr:from>
    <xdr:ext cx="1685925" cy="571500"/>
    <xdr:pic>
      <xdr:nvPicPr>
        <xdr:cNvPr id="2" name="Image 1" descr="Picture">
          <a:extLst>
            <a:ext uri="{FF2B5EF4-FFF2-40B4-BE49-F238E27FC236}">
              <a16:creationId xmlns:a16="http://schemas.microsoft.com/office/drawing/2014/main" id="{C0F2A147-C6D8-DE4B-A959-00EA3F776DD8}"/>
            </a:ext>
          </a:extLst>
        </xdr:cNvPr>
        <xdr:cNvPicPr/>
      </xdr:nvPicPr>
      <xdr:blipFill>
        <a:blip xmlns:r="http://schemas.openxmlformats.org/officeDocument/2006/relationships" r:embed="rId1" cstate="print"/>
        <a:stretch>
          <a:fillRect/>
        </a:stretch>
      </xdr:blipFill>
      <xdr:spPr>
        <a:xfrm>
          <a:off x="10714182" y="0"/>
          <a:ext cx="1685925" cy="571500"/>
        </a:xfrm>
        <a:prstGeom prst="rect">
          <a:avLst/>
        </a:prstGeom>
        <a:ln>
          <a:prstDash val="soli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6</xdr:col>
      <xdr:colOff>0</xdr:colOff>
      <xdr:row>0</xdr:row>
      <xdr:rowOff>0</xdr:rowOff>
    </xdr:from>
    <xdr:ext cx="1685925" cy="571500"/>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0</xdr:row>
      <xdr:rowOff>0</xdr:rowOff>
    </xdr:from>
    <xdr:ext cx="1685925" cy="571500"/>
    <xdr:pic>
      <xdr:nvPicPr>
        <xdr:cNvPr id="2" name="Image 1" descr="Picture">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3B5C3"/>
    <pageSetUpPr fitToPage="1"/>
  </sheetPr>
  <dimension ref="A1:J18"/>
  <sheetViews>
    <sheetView showGridLines="0" tabSelected="1" zoomScale="150" zoomScaleNormal="150" workbookViewId="0">
      <selection sqref="A1:E1"/>
    </sheetView>
  </sheetViews>
  <sheetFormatPr baseColWidth="10" defaultColWidth="8.83203125" defaultRowHeight="14"/>
  <cols>
    <col min="1" max="1" width="30" style="14" customWidth="1"/>
    <col min="2" max="2" width="18" style="14" customWidth="1"/>
    <col min="3" max="3" width="28" style="14" customWidth="1"/>
    <col min="4" max="4" width="18" style="14" customWidth="1"/>
    <col min="5" max="5" width="16" style="14" customWidth="1"/>
    <col min="6" max="16384" width="8.83203125" style="14"/>
  </cols>
  <sheetData>
    <row r="1" spans="1:10" ht="45" customHeight="1">
      <c r="A1" s="25" t="s">
        <v>63</v>
      </c>
      <c r="B1" s="26"/>
      <c r="C1" s="26"/>
      <c r="D1" s="26"/>
      <c r="E1" s="26"/>
      <c r="F1" s="25"/>
      <c r="G1" s="26"/>
      <c r="H1" s="26"/>
      <c r="I1" s="26"/>
      <c r="J1" s="26"/>
    </row>
    <row r="2" spans="1:10">
      <c r="A2" s="27" t="s">
        <v>64</v>
      </c>
      <c r="B2" s="13"/>
      <c r="C2" s="13"/>
      <c r="D2" s="13"/>
      <c r="E2" s="13"/>
    </row>
    <row r="5" spans="1:10">
      <c r="A5" s="16" t="s">
        <v>35</v>
      </c>
      <c r="B5" s="28" t="str">
        <f>INPUTS!$B$5</f>
        <v>Ejecución hipotecaria</v>
      </c>
      <c r="C5" s="28" t="str">
        <f>IF(B5="Ejecución hipotecaria",+INPUTS!E6,0)</f>
        <v>7. Adj. Ejecutante</v>
      </c>
      <c r="D5" s="29"/>
      <c r="E5" s="29"/>
    </row>
    <row r="6" spans="1:10">
      <c r="A6" s="29"/>
      <c r="B6" s="29"/>
      <c r="C6" s="29"/>
      <c r="D6" s="29"/>
      <c r="E6" s="29"/>
    </row>
    <row r="7" spans="1:10">
      <c r="A7" s="30" t="s">
        <v>65</v>
      </c>
      <c r="B7" s="31"/>
      <c r="C7" s="30" t="s">
        <v>66</v>
      </c>
      <c r="D7" s="31"/>
      <c r="E7" s="31"/>
    </row>
    <row r="8" spans="1:10" ht="17" customHeight="1">
      <c r="A8" s="16" t="str">
        <f>+INPUTS!A11</f>
        <v>Total deuda (€)</v>
      </c>
      <c r="B8" s="32">
        <f>+INPUTS!B11</f>
        <v>120000</v>
      </c>
      <c r="C8" s="16" t="s">
        <v>50</v>
      </c>
      <c r="D8" s="33">
        <f>Modelo!$B$16</f>
        <v>130700</v>
      </c>
      <c r="E8" s="29"/>
    </row>
    <row r="9" spans="1:10" ht="17" customHeight="1">
      <c r="A9" s="16" t="s">
        <v>67</v>
      </c>
      <c r="B9" s="32">
        <f>INPUTS!$B$12</f>
        <v>120000</v>
      </c>
      <c r="C9" s="16" t="s">
        <v>51</v>
      </c>
      <c r="D9" s="33">
        <f>Modelo!$B$17</f>
        <v>53745.1137872728</v>
      </c>
      <c r="E9" s="29"/>
    </row>
    <row r="10" spans="1:10" ht="17" customHeight="1">
      <c r="A10" s="16" t="s">
        <v>5</v>
      </c>
      <c r="B10" s="32">
        <f>INPUTS!$B$13</f>
        <v>0</v>
      </c>
      <c r="C10" s="16" t="s">
        <v>53</v>
      </c>
      <c r="D10" s="34">
        <f>Modelo!$B$18</f>
        <v>0.41120974588579035</v>
      </c>
      <c r="E10" s="29"/>
    </row>
    <row r="11" spans="1:10" ht="16" customHeight="1">
      <c r="A11" s="16" t="s">
        <v>7</v>
      </c>
      <c r="B11" s="32">
        <f>+INPUTS!B14</f>
        <v>180000</v>
      </c>
      <c r="C11" s="16" t="s">
        <v>56</v>
      </c>
      <c r="D11" s="34">
        <f>Modelo!$B$20</f>
        <v>1.8252636875402222</v>
      </c>
      <c r="E11" s="29"/>
    </row>
    <row r="12" spans="1:10" ht="17" customHeight="1">
      <c r="A12" s="29"/>
      <c r="B12" s="29"/>
      <c r="C12" s="16" t="s">
        <v>55</v>
      </c>
      <c r="D12" s="33">
        <f>Modelo!$B$19</f>
        <v>46935.371966756298</v>
      </c>
      <c r="E12" s="29"/>
    </row>
    <row r="13" spans="1:10" ht="17" customHeight="1">
      <c r="A13" s="29"/>
      <c r="B13" s="29"/>
      <c r="C13" s="16" t="str">
        <f>+Modelo!G12</f>
        <v>Meses hasta Subasta o Registro</v>
      </c>
      <c r="D13" s="35">
        <f>Modelo!$E$16</f>
        <v>4</v>
      </c>
      <c r="E13" s="29"/>
    </row>
    <row r="14" spans="1:10" ht="16" customHeight="1">
      <c r="A14" s="29"/>
      <c r="B14" s="29"/>
      <c r="C14" s="16"/>
      <c r="D14" s="35"/>
      <c r="E14" s="29"/>
    </row>
    <row r="15" spans="1:10">
      <c r="A15" s="29"/>
      <c r="B15" s="29"/>
      <c r="C15" s="29"/>
      <c r="D15" s="29"/>
      <c r="E15" s="29"/>
    </row>
    <row r="16" spans="1:10">
      <c r="A16" s="30"/>
      <c r="B16" s="31"/>
      <c r="C16" s="31"/>
      <c r="D16" s="31"/>
      <c r="E16" s="31"/>
    </row>
    <row r="17" spans="1:5">
      <c r="A17" s="36" t="s">
        <v>26</v>
      </c>
      <c r="B17" s="37" t="s">
        <v>27</v>
      </c>
      <c r="C17" s="38" t="s">
        <v>28</v>
      </c>
      <c r="D17" s="38" t="s">
        <v>91</v>
      </c>
      <c r="E17" s="38" t="s">
        <v>30</v>
      </c>
    </row>
    <row r="18" spans="1:5">
      <c r="A18" s="39" t="str">
        <f>+INPUTS!B7</f>
        <v>Base</v>
      </c>
      <c r="B18" s="39">
        <f>VLOOKUP($A$18,INPUTS!$A$38:$F$40,2,FALSE)</f>
        <v>0.05</v>
      </c>
      <c r="C18" s="39">
        <f>VLOOKUP($A$18,INPUTS!$A$38:$F$40,4,FALSE)</f>
        <v>7000</v>
      </c>
      <c r="D18" s="39">
        <f>VLOOKUP($A$18,INPUTS!$A$38:$F$40,5,FALSE)</f>
        <v>300</v>
      </c>
      <c r="E18" s="40">
        <f>VLOOKUP($A$18,INPUTS!$A$38:$F$40,6,FALSE)</f>
        <v>0.12</v>
      </c>
    </row>
  </sheetData>
  <sheetProtection algorithmName="SHA-512" hashValue="xOg3rm2cda3BCENb+ByrDetzOmB3BtQ5XlhKv2ojaO/3L9OXRWy9kNivQLM+C+ZPJSsWKY9ayAAST/RHLP0UHA==" saltValue="xL68LpQR6M84EKSU0vB3VA==" spinCount="100000" sheet="1"/>
  <mergeCells count="6">
    <mergeCell ref="F1:J1"/>
    <mergeCell ref="A2:E2"/>
    <mergeCell ref="A16:E16"/>
    <mergeCell ref="A1:E1"/>
    <mergeCell ref="C7:E7"/>
    <mergeCell ref="A7:B7"/>
  </mergeCells>
  <dataValidations count="1">
    <dataValidation type="decimal" operator="greaterThanOrEqual" errorTitle="Valor no permitido" error="Introduce un número válido (&gt;=0)." sqref="B8:B11" xr:uid="{00000000-0002-0000-0200-000000000000}">
      <formula1>0</formula1>
    </dataValidation>
  </dataValidations>
  <pageMargins left="0.7" right="0.7" top="0.75" bottom="0.75" header="0.3" footer="0.3"/>
  <pageSetup paperSize="9" scale="79"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showGridLines="0" zoomScale="108" zoomScaleNormal="110" workbookViewId="0">
      <selection activeCell="A37" sqref="A37:F37"/>
    </sheetView>
  </sheetViews>
  <sheetFormatPr baseColWidth="10" defaultColWidth="8.83203125" defaultRowHeight="15"/>
  <cols>
    <col min="1" max="1" width="40" style="1" customWidth="1"/>
    <col min="2" max="2" width="31.1640625" style="1" bestFit="1" customWidth="1"/>
    <col min="3" max="3" width="10.1640625" style="1" customWidth="1"/>
    <col min="4" max="4" width="40" style="1" customWidth="1"/>
    <col min="5" max="5" width="18" style="1" bestFit="1" customWidth="1"/>
    <col min="6" max="6" width="30" style="1" customWidth="1"/>
    <col min="7" max="16384" width="8.83203125" style="1"/>
  </cols>
  <sheetData>
    <row r="1" spans="1:6" ht="46" customHeight="1">
      <c r="A1" s="75" t="s">
        <v>0</v>
      </c>
      <c r="B1" s="76"/>
      <c r="C1" s="76"/>
      <c r="D1" s="76"/>
      <c r="E1" s="76"/>
      <c r="F1" s="76"/>
    </row>
    <row r="2" spans="1:6" ht="15" customHeight="1"/>
    <row r="3" spans="1:6" ht="22" customHeight="1" thickBot="1"/>
    <row r="4" spans="1:6" ht="24" thickBot="1">
      <c r="A4" s="77" t="s">
        <v>35</v>
      </c>
      <c r="B4" s="78"/>
    </row>
    <row r="5" spans="1:6" ht="20">
      <c r="A5" s="79" t="s">
        <v>15</v>
      </c>
      <c r="B5" s="80" t="s">
        <v>16</v>
      </c>
      <c r="D5" s="99" t="s">
        <v>16</v>
      </c>
      <c r="E5" s="100" t="str">
        <f>IF($B$5="Acuerdo con el deudor","NO APLICA"," ")</f>
        <v xml:space="preserve"> </v>
      </c>
    </row>
    <row r="6" spans="1:6" ht="23">
      <c r="A6" s="81" t="s">
        <v>106</v>
      </c>
      <c r="B6" s="82"/>
      <c r="D6" s="79" t="s">
        <v>22</v>
      </c>
      <c r="E6" s="80" t="s">
        <v>96</v>
      </c>
    </row>
    <row r="7" spans="1:6" ht="16" thickBot="1">
      <c r="A7" s="83" t="s">
        <v>19</v>
      </c>
      <c r="B7" s="84" t="s">
        <v>20</v>
      </c>
      <c r="D7" s="79" t="s">
        <v>24</v>
      </c>
      <c r="E7" s="80" t="s">
        <v>25</v>
      </c>
    </row>
    <row r="8" spans="1:6" ht="15" customHeight="1">
      <c r="D8" s="111"/>
      <c r="E8" s="112"/>
    </row>
    <row r="9" spans="1:6" ht="21" thickBot="1">
      <c r="D9" s="101" t="s">
        <v>109</v>
      </c>
      <c r="E9" s="102" t="str">
        <f>IF($B$5="Acuerdo con el deudor","NO APLICA"," ")</f>
        <v xml:space="preserve"> </v>
      </c>
    </row>
    <row r="10" spans="1:6" ht="23">
      <c r="A10" s="77" t="s">
        <v>107</v>
      </c>
      <c r="B10" s="78"/>
      <c r="D10" s="79" t="s">
        <v>2</v>
      </c>
      <c r="E10" s="85">
        <v>200000</v>
      </c>
    </row>
    <row r="11" spans="1:6" ht="22" customHeight="1">
      <c r="A11" s="79" t="s">
        <v>1</v>
      </c>
      <c r="B11" s="85">
        <v>120000</v>
      </c>
      <c r="D11" s="79" t="s">
        <v>4</v>
      </c>
      <c r="E11" s="103">
        <f>+Modelo!E26</f>
        <v>131467.56281778243</v>
      </c>
    </row>
    <row r="12" spans="1:6">
      <c r="A12" s="79" t="s">
        <v>3</v>
      </c>
      <c r="B12" s="85">
        <v>120000</v>
      </c>
      <c r="D12" s="79" t="s">
        <v>6</v>
      </c>
      <c r="E12" s="85">
        <v>0</v>
      </c>
    </row>
    <row r="13" spans="1:6">
      <c r="A13" s="79" t="s">
        <v>88</v>
      </c>
      <c r="B13" s="86">
        <f>IF($B$5="Acuerdo con el deudor",$B$33,0)</f>
        <v>0</v>
      </c>
      <c r="D13" s="79" t="s">
        <v>8</v>
      </c>
      <c r="E13" s="80" t="s">
        <v>9</v>
      </c>
    </row>
    <row r="14" spans="1:6" ht="50" customHeight="1" thickBot="1">
      <c r="A14" s="79" t="s">
        <v>7</v>
      </c>
      <c r="B14" s="85">
        <v>180000</v>
      </c>
      <c r="D14" s="109" t="s">
        <v>100</v>
      </c>
      <c r="E14" s="110"/>
    </row>
    <row r="15" spans="1:6" ht="17" thickBot="1">
      <c r="A15" s="87" t="s">
        <v>86</v>
      </c>
      <c r="B15" s="88" t="s">
        <v>85</v>
      </c>
      <c r="D15" s="74"/>
      <c r="E15" s="74"/>
    </row>
    <row r="16" spans="1:6" ht="20">
      <c r="A16" s="89" t="s">
        <v>89</v>
      </c>
      <c r="B16" s="90"/>
      <c r="D16" s="107" t="s">
        <v>110</v>
      </c>
      <c r="E16" s="108"/>
    </row>
    <row r="17" spans="1:5" ht="22" customHeight="1" thickBot="1">
      <c r="A17" s="91" t="s">
        <v>87</v>
      </c>
      <c r="B17" s="92"/>
      <c r="D17" s="79" t="s">
        <v>12</v>
      </c>
      <c r="E17" s="104">
        <v>0.02</v>
      </c>
    </row>
    <row r="18" spans="1:5" ht="16" thickBot="1">
      <c r="D18" s="79" t="s">
        <v>13</v>
      </c>
      <c r="E18" s="105">
        <v>6</v>
      </c>
    </row>
    <row r="19" spans="1:5" ht="23">
      <c r="A19" s="77" t="s">
        <v>108</v>
      </c>
      <c r="B19" s="78"/>
      <c r="D19" s="79" t="s">
        <v>14</v>
      </c>
      <c r="E19" s="85">
        <v>2500</v>
      </c>
    </row>
    <row r="20" spans="1:5" ht="16" thickBot="1">
      <c r="A20" s="79" t="s">
        <v>10</v>
      </c>
      <c r="B20" s="85" t="s">
        <v>11</v>
      </c>
      <c r="D20" s="83" t="s">
        <v>104</v>
      </c>
      <c r="E20" s="106">
        <v>0.05</v>
      </c>
    </row>
    <row r="21" spans="1:5">
      <c r="A21" s="79"/>
      <c r="B21" s="93"/>
    </row>
    <row r="22" spans="1:5" ht="16">
      <c r="A22" s="94" t="s">
        <v>17</v>
      </c>
      <c r="B22" s="95"/>
    </row>
    <row r="23" spans="1:5">
      <c r="A23" s="79" t="s">
        <v>18</v>
      </c>
      <c r="B23" s="85" t="str">
        <f>IF($B$5="Ejecución hipotecaria","No Aplica",0)</f>
        <v>No Aplica</v>
      </c>
    </row>
    <row r="24" spans="1:5">
      <c r="A24" s="79" t="s">
        <v>21</v>
      </c>
      <c r="B24" s="96">
        <v>2</v>
      </c>
    </row>
    <row r="25" spans="1:5" ht="16">
      <c r="A25" s="87" t="s">
        <v>76</v>
      </c>
      <c r="B25" s="86" t="str">
        <f>IF($B$5="Ejecución hipotecaria","No Aplica",(IF($B$15="No disponible (o introduce  el valor)",$B$14*C25,IF($B$15&gt;0,$B$15*C25,"ERROR"))))</f>
        <v>No Aplica</v>
      </c>
      <c r="C25" s="9">
        <v>0.1</v>
      </c>
    </row>
    <row r="26" spans="1:5" ht="16">
      <c r="A26" s="87" t="s">
        <v>77</v>
      </c>
      <c r="B26" s="86" t="str">
        <f>IF($B$5="Ejecución hipotecaria","No Aplica",(IF($B$15="No disponible (o introduce  el valor)",$B$14*C26,IF($B$15&gt;0,$B$15*C26,"ERROR"))))</f>
        <v>No Aplica</v>
      </c>
      <c r="C26" s="10">
        <v>4.0000000000000001E-3</v>
      </c>
    </row>
    <row r="27" spans="1:5" ht="16">
      <c r="A27" s="87" t="s">
        <v>78</v>
      </c>
      <c r="B27" s="86" t="str">
        <f>IF($B$5="Ejecución hipotecaria","No Aplica",(IF($B$15="No disponible (o introduce  el valor)",$B$14*C27,IF($B$15&gt;0,$B$15*C27,"ERROR"))))</f>
        <v>No Aplica</v>
      </c>
      <c r="C27" s="10">
        <v>2.5000000000000001E-3</v>
      </c>
    </row>
    <row r="28" spans="1:5" ht="16">
      <c r="A28" s="87" t="s">
        <v>79</v>
      </c>
      <c r="B28" s="86" t="str">
        <f>IF($B$5="Ejecución hipotecaria","No Aplica",(IF($B$15="No disponible (o introduce  el valor)",C28,IF($B$15&gt;0,$B$15*C28,"ERROR"))))</f>
        <v>No Aplica</v>
      </c>
      <c r="C28" s="11">
        <v>350</v>
      </c>
    </row>
    <row r="29" spans="1:5" ht="22" customHeight="1">
      <c r="A29" s="87" t="s">
        <v>80</v>
      </c>
      <c r="B29" s="86" t="str">
        <f>IF($B$5="Ejecución hipotecaria","No Aplica",(IF($B$15="No disponible (o introduce  el valor)",C29,IF($B$15&gt;0,$B$15*C29,"ERROR"))))</f>
        <v>No Aplica</v>
      </c>
      <c r="C29" s="11">
        <v>1000</v>
      </c>
    </row>
    <row r="30" spans="1:5" ht="16">
      <c r="A30" s="87" t="s">
        <v>81</v>
      </c>
      <c r="B30" s="86" t="str">
        <f>IF($B$5="Ejecución hipotecaria","No Aplica",(IF($B$15="No disponible (o introduce  el valor)",C30,IF($B$15&gt;0,$B$15*C30,"ERROR"))))</f>
        <v>No Aplica</v>
      </c>
      <c r="C30" s="11">
        <v>2000</v>
      </c>
    </row>
    <row r="31" spans="1:5" ht="16">
      <c r="A31" s="87" t="s">
        <v>82</v>
      </c>
      <c r="B31" s="86" t="str">
        <f>IF($B$5="Ejecución hipotecaria","No Aplica",(IF($B$15="No disponible (o introduce  el valor)",C31,IF($B$15&gt;0,$B$15*C31,"ERROR"))))</f>
        <v>No Aplica</v>
      </c>
      <c r="C31" s="11">
        <v>500</v>
      </c>
    </row>
    <row r="32" spans="1:5" ht="16">
      <c r="A32" s="87" t="s">
        <v>83</v>
      </c>
      <c r="B32" s="86" t="str">
        <f>IF($B$5="Ejecución hipotecaria","No Aplica",(IF($B$15="No disponible (o introduce  el valor)",C32,IF($B$15&gt;0,$B$15*C32,"ERROR"))))</f>
        <v>No Aplica</v>
      </c>
      <c r="C32" s="11">
        <v>10000</v>
      </c>
    </row>
    <row r="33" spans="1:6" ht="22" customHeight="1" thickBot="1">
      <c r="A33" s="97" t="s">
        <v>84</v>
      </c>
      <c r="B33" s="98">
        <f>SUM(B23:B32)</f>
        <v>2</v>
      </c>
      <c r="C33" s="3"/>
      <c r="D33" s="3"/>
      <c r="E33" s="3"/>
      <c r="F33" s="2"/>
    </row>
    <row r="34" spans="1:6" ht="18" customHeight="1"/>
    <row r="37" spans="1:6" ht="20">
      <c r="A37" s="113" t="s">
        <v>111</v>
      </c>
      <c r="B37" s="114"/>
      <c r="C37" s="114"/>
      <c r="D37" s="114"/>
      <c r="E37" s="114"/>
      <c r="F37" s="114"/>
    </row>
    <row r="38" spans="1:6">
      <c r="A38" s="4" t="s">
        <v>26</v>
      </c>
      <c r="B38" s="5" t="s">
        <v>27</v>
      </c>
      <c r="C38" s="4"/>
      <c r="D38" s="4" t="s">
        <v>28</v>
      </c>
      <c r="E38" s="4" t="s">
        <v>29</v>
      </c>
      <c r="F38" s="4" t="s">
        <v>30</v>
      </c>
    </row>
    <row r="39" spans="1:6">
      <c r="A39" s="6" t="s">
        <v>31</v>
      </c>
      <c r="B39" s="12">
        <v>0.15</v>
      </c>
      <c r="C39" s="8"/>
      <c r="D39" s="7">
        <v>5000</v>
      </c>
      <c r="E39" s="7">
        <v>250</v>
      </c>
      <c r="F39" s="12">
        <v>0.1</v>
      </c>
    </row>
    <row r="40" spans="1:6">
      <c r="A40" s="6" t="s">
        <v>20</v>
      </c>
      <c r="B40" s="12">
        <v>0.05</v>
      </c>
      <c r="C40" s="8"/>
      <c r="D40" s="7">
        <v>7000</v>
      </c>
      <c r="E40" s="7">
        <v>300</v>
      </c>
      <c r="F40" s="12">
        <v>0.12</v>
      </c>
    </row>
    <row r="41" spans="1:6">
      <c r="A41" s="6" t="s">
        <v>32</v>
      </c>
      <c r="B41" s="12">
        <v>-0.1</v>
      </c>
      <c r="C41" s="8"/>
      <c r="D41" s="7">
        <v>9000</v>
      </c>
      <c r="E41" s="7">
        <v>350</v>
      </c>
      <c r="F41" s="12">
        <v>0.15</v>
      </c>
    </row>
  </sheetData>
  <sheetProtection algorithmName="SHA-512" hashValue="DE8AAmm6Y+ddOmwIp5sptgypY5zYEISoRadq9dDxcLQA1f+syiKPKPrydEoWpyvrWwb3l8uCKaVUz07TP9oXPg==" saltValue="03yl7iUOwliARGrDrKwYaA==" spinCount="100000" sheet="1" objects="1" scenarios="1"/>
  <mergeCells count="8">
    <mergeCell ref="A37:F37"/>
    <mergeCell ref="A4:B4"/>
    <mergeCell ref="A6:B6"/>
    <mergeCell ref="A10:B10"/>
    <mergeCell ref="A19:B19"/>
    <mergeCell ref="D16:E16"/>
    <mergeCell ref="D14:E14"/>
    <mergeCell ref="A1:F1"/>
  </mergeCells>
  <dataValidations count="10">
    <dataValidation type="list" sqref="B22" xr:uid="{00000000-0002-0000-0000-000000000000}">
      <formula1>"Sí,No"</formula1>
    </dataValidation>
    <dataValidation type="list" sqref="B21" xr:uid="{00000000-0002-0000-0000-000002000000}">
      <formula1>_xlfn._LONGTEXT("1. Impago y Reclamación Extrajudicial,2. Presentación de Demanda y Admisión,3. Notificación y Requerimiento de Pago,4. Oposición a la Ejecución,5. Certificación de Cargas y Tasación,6. Convocatoria y Celebración de Subasta,7. Decreto de Adjudicación y Pos","esión")</formula1>
    </dataValidation>
    <dataValidation type="list" sqref="E13" xr:uid="{00000000-0002-0000-0000-000003000000}">
      <formula1>"VIVIENDA,NO VIVIENDA"</formula1>
    </dataValidation>
    <dataValidation type="list" errorTitle="Valor no permitido" error="Selecciona Sí o No." sqref="B20 B22 E7" xr:uid="{00000000-0002-0000-0000-000004000000}">
      <formula1>"Sí,No"</formula1>
    </dataValidation>
    <dataValidation type="list" errorTitle="Valor no permitido" error="Selecciona una vía válida." sqref="B5" xr:uid="{00000000-0002-0000-0000-000005000000}">
      <formula1>"Acuerdo con el deudor,Ejecución hipotecaria"</formula1>
    </dataValidation>
    <dataValidation type="list" errorTitle="Valor no permitido" error="Selecciona una fase válida." sqref="B21" xr:uid="{00000000-0002-0000-0000-000006000000}">
      <formula1>_xlfn._LONGTEXT("1. Impago y Reclamación Extrajudicial,2. Presentación de Demanda y Admisión,3. Notificación y Requerimiento de Pago,4. Oposición a la Ejecución,5. Certificación de Cargas y Tasación,6. Convocatoria y Celebración de Subasta,7. Decreto de Adjudicación y Pos","esión")</formula1>
    </dataValidation>
    <dataValidation type="list" errorTitle="Valor no permitido" error="Selecciona VIVIENDA o NO VIVIENDA." sqref="E13" xr:uid="{00000000-0002-0000-0000-000007000000}">
      <formula1>"VIVIENDA,NO VIVIENDA"</formula1>
    </dataValidation>
    <dataValidation allowBlank="1" showInputMessage="1" showErrorMessage="1" promptTitle="No disponible (o introduce  el v" sqref="B15" xr:uid="{35EC85C1-C8DC-F04C-8CB0-91FA62FFC38C}"/>
    <dataValidation type="list" errorTitle="Valor no permitido" error="Selecciona una fase válida." sqref="E6" xr:uid="{AFA94515-F9EA-9A43-88F9-16D534E8DA1C}">
      <formula1>"1. Impago y Reclamación Extrajudicial,2. Presentación Demanda y Admisión,3. Notificación y Requerimiento de Pago,4. Oposición a la Ejecución,5. Certificación de Cargas y Tasación,6. Convocatoria y Celebración de Subasta,7. Adj. Ejecutante,8. Adj. Tercero"</formula1>
    </dataValidation>
    <dataValidation type="list" errorTitle="Valor no permitido" error="Selecciona Optimista, Base o Pesimista." sqref="B7" xr:uid="{00000000-0002-0000-0000-000008000000}">
      <formula1>$A$39:$A$41</formula1>
    </dataValidation>
  </dataValidations>
  <pageMargins left="0.75" right="0.75" top="1" bottom="1" header="0.5" footer="0.5"/>
  <pageSetup paperSize="9" scale="62"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3B5C3"/>
  </sheetPr>
  <dimension ref="A1:H105"/>
  <sheetViews>
    <sheetView showGridLines="0" zoomScale="108" zoomScaleNormal="108" workbookViewId="0">
      <selection activeCell="E23" sqref="E23"/>
    </sheetView>
  </sheetViews>
  <sheetFormatPr baseColWidth="10" defaultColWidth="8.83203125" defaultRowHeight="14"/>
  <cols>
    <col min="1" max="1" width="30" style="14" customWidth="1"/>
    <col min="2" max="2" width="20" style="14" customWidth="1"/>
    <col min="3" max="3" width="28" style="14" customWidth="1"/>
    <col min="4" max="4" width="26" style="14" customWidth="1"/>
    <col min="5" max="5" width="18" style="14" customWidth="1"/>
    <col min="6" max="6" width="2" style="14" customWidth="1"/>
    <col min="7" max="7" width="22" style="14" customWidth="1"/>
    <col min="8" max="8" width="18" style="14" customWidth="1"/>
    <col min="9" max="16384" width="8.83203125" style="14"/>
  </cols>
  <sheetData>
    <row r="1" spans="1:8" ht="45" customHeight="1">
      <c r="A1" s="25" t="s">
        <v>33</v>
      </c>
      <c r="B1" s="26"/>
      <c r="C1" s="26"/>
      <c r="D1" s="26"/>
      <c r="E1" s="26"/>
      <c r="F1" s="26"/>
      <c r="G1" s="26"/>
      <c r="H1" s="26"/>
    </row>
    <row r="3" spans="1:8">
      <c r="A3" s="15" t="s">
        <v>34</v>
      </c>
      <c r="B3" s="13"/>
      <c r="C3" s="13"/>
      <c r="D3" s="13"/>
      <c r="E3" s="13"/>
      <c r="F3" s="13"/>
      <c r="G3" s="13"/>
      <c r="H3" s="13"/>
    </row>
    <row r="4" spans="1:8" ht="15">
      <c r="A4" s="43" t="s">
        <v>26</v>
      </c>
      <c r="B4" s="44" t="str">
        <f>INPUTS!$B$7</f>
        <v>Base</v>
      </c>
    </row>
    <row r="5" spans="1:8" ht="15">
      <c r="A5" s="43" t="s">
        <v>35</v>
      </c>
      <c r="B5" s="44" t="str">
        <f>INPUTS!$B$5</f>
        <v>Ejecución hipotecaria</v>
      </c>
    </row>
    <row r="7" spans="1:8">
      <c r="A7" s="15" t="s">
        <v>36</v>
      </c>
      <c r="B7" s="13"/>
      <c r="C7" s="13"/>
      <c r="D7" s="13"/>
      <c r="E7" s="13"/>
      <c r="F7" s="13"/>
      <c r="G7" s="13"/>
      <c r="H7" s="13"/>
    </row>
    <row r="8" spans="1:8" ht="30">
      <c r="A8" s="43" t="s">
        <v>101</v>
      </c>
      <c r="B8" s="45">
        <f>INPUTS!$B$11</f>
        <v>120000</v>
      </c>
      <c r="D8" s="15" t="s">
        <v>37</v>
      </c>
      <c r="E8" s="13"/>
      <c r="F8" s="13"/>
      <c r="G8" s="17" t="s">
        <v>38</v>
      </c>
      <c r="H8" s="18"/>
    </row>
    <row r="9" spans="1:8" ht="30">
      <c r="A9" s="43" t="s">
        <v>39</v>
      </c>
      <c r="B9" s="45">
        <f>INPUTS!$B$12</f>
        <v>120000</v>
      </c>
      <c r="D9" s="43" t="s">
        <v>12</v>
      </c>
      <c r="E9" s="46">
        <f>INPUTS!$E$17</f>
        <v>0.02</v>
      </c>
      <c r="G9" s="43" t="s">
        <v>40</v>
      </c>
      <c r="H9" s="47">
        <f>IF($B$5="Ejecución hipotecaria",IF(INPUTS!$E$7="Sí",INPUTS!$E$18,0),0)</f>
        <v>6</v>
      </c>
    </row>
    <row r="10" spans="1:8" ht="15">
      <c r="A10" s="43" t="s">
        <v>5</v>
      </c>
      <c r="B10" s="45">
        <f>INPUTS!$B$13</f>
        <v>0</v>
      </c>
      <c r="D10" s="43" t="s">
        <v>27</v>
      </c>
      <c r="E10" s="46">
        <f>VLOOKUP($B$4,INPUTS!$A$38:$F$40,2,FALSE)</f>
        <v>0.05</v>
      </c>
      <c r="G10" s="43" t="s">
        <v>41</v>
      </c>
      <c r="H10" s="45">
        <f>IF($B$5="Ejecución hipotecaria",INPUTS!$E$19,0)</f>
        <v>2500</v>
      </c>
    </row>
    <row r="11" spans="1:8" ht="15">
      <c r="A11" s="14" t="s">
        <v>7</v>
      </c>
      <c r="B11" s="19">
        <f>INPUTS!$B$14</f>
        <v>180000</v>
      </c>
      <c r="D11" s="43" t="s">
        <v>42</v>
      </c>
      <c r="E11" s="48">
        <f>VLOOKUP($B$4,INPUTS!$A$38:$F$40,4,FALSE)</f>
        <v>7000</v>
      </c>
    </row>
    <row r="12" spans="1:8" ht="30">
      <c r="A12" s="15" t="s">
        <v>43</v>
      </c>
      <c r="B12" s="13"/>
      <c r="C12" s="13"/>
      <c r="D12" s="43" t="s">
        <v>29</v>
      </c>
      <c r="E12" s="48">
        <f>VLOOKUP($B$4,INPUTS!$A$38:$F$40,5,FALSE)</f>
        <v>300</v>
      </c>
      <c r="G12" s="60" t="s">
        <v>99</v>
      </c>
      <c r="H12" s="14">
        <f>IF(E20="ADJUDICADA",4,SUM(INDEX(Fases!$B$2:$B$9,MATCH(INPUTS!$E$6,Fases!$A$2:$A$9,0)):INDEX(Fases!$B$2:$B$9,6))+IF(INPUTS!$E$7="Sí",INPUTS!$E$18,0))</f>
        <v>4</v>
      </c>
    </row>
    <row r="13" spans="1:8" ht="16" customHeight="1">
      <c r="A13" s="43" t="s">
        <v>44</v>
      </c>
      <c r="B13" s="49">
        <f>IF(G20="8. Adj. Tercero",E21,E22)</f>
        <v>184445.1137872728</v>
      </c>
      <c r="D13" s="43" t="s">
        <v>45</v>
      </c>
      <c r="E13" s="46">
        <f>VLOOKUP($B$4,INPUTS!$A$38:$F$40,6,FALSE)</f>
        <v>0.12</v>
      </c>
    </row>
    <row r="14" spans="1:8" ht="17" customHeight="1">
      <c r="A14" s="43" t="s">
        <v>46</v>
      </c>
      <c r="B14" s="50">
        <f>$B$9+$B$10+$E$17+IF($B$5="Acuerdo con el deudor",INPUTS!$B$23,0)</f>
        <v>129500</v>
      </c>
      <c r="D14" s="14" t="s">
        <v>47</v>
      </c>
      <c r="E14" s="20">
        <f>VLOOKUP($B$4,INPUTS!$A$38:$F$40,3,FALSE)</f>
        <v>0</v>
      </c>
    </row>
    <row r="15" spans="1:8" ht="16" customHeight="1">
      <c r="A15" s="43" t="s">
        <v>48</v>
      </c>
      <c r="B15" s="50">
        <f>E12*E16</f>
        <v>1200</v>
      </c>
      <c r="D15" s="15" t="s">
        <v>49</v>
      </c>
      <c r="E15" s="13"/>
      <c r="F15" s="13"/>
      <c r="G15" s="13"/>
      <c r="H15" s="13"/>
    </row>
    <row r="16" spans="1:8" ht="30">
      <c r="A16" s="43" t="s">
        <v>50</v>
      </c>
      <c r="B16" s="50">
        <f>B14+B15</f>
        <v>130700</v>
      </c>
      <c r="D16" s="43" t="s">
        <v>90</v>
      </c>
      <c r="E16" s="51">
        <f>IF($B$5="Acuerdo con el deudor",INPUTS!$B$24,$H$12)</f>
        <v>4</v>
      </c>
    </row>
    <row r="17" spans="1:8" ht="17" customHeight="1">
      <c r="A17" s="43" t="s">
        <v>51</v>
      </c>
      <c r="B17" s="50">
        <f>B13-B16</f>
        <v>53745.1137872728</v>
      </c>
      <c r="D17" s="43" t="s">
        <v>52</v>
      </c>
      <c r="E17" s="52">
        <f>$E$11+$H$10</f>
        <v>9500</v>
      </c>
    </row>
    <row r="18" spans="1:8" ht="17" customHeight="1">
      <c r="A18" s="43" t="s">
        <v>53</v>
      </c>
      <c r="B18" s="53">
        <f>IF(B16=0,0,B17/B16)</f>
        <v>0.41120974588579035</v>
      </c>
      <c r="D18" s="43" t="s">
        <v>54</v>
      </c>
      <c r="E18" s="54">
        <f>(1+E13)^(1/12)-1</f>
        <v>9.4887929345830457E-3</v>
      </c>
    </row>
    <row r="19" spans="1:8" ht="17" customHeight="1">
      <c r="A19" s="43" t="s">
        <v>55</v>
      </c>
      <c r="B19" s="50">
        <f>B105</f>
        <v>46935.371966756298</v>
      </c>
      <c r="D19" s="15" t="s">
        <v>98</v>
      </c>
      <c r="E19" s="13"/>
      <c r="F19" s="13"/>
      <c r="G19" s="13"/>
      <c r="H19" s="13"/>
    </row>
    <row r="20" spans="1:8" ht="17" customHeight="1">
      <c r="A20" s="43" t="s">
        <v>56</v>
      </c>
      <c r="B20" s="53">
        <f>B104</f>
        <v>1.8252636875402222</v>
      </c>
      <c r="D20" s="14" t="s">
        <v>92</v>
      </c>
      <c r="E20" s="14" t="str">
        <f>IF(G20="8. Adj. Tercero","ADJUDICADA",IF(G20="7. Adj. Ejecutante","ADJUDICADA",0))</f>
        <v>ADJUDICADA</v>
      </c>
      <c r="G20" s="14" t="str">
        <f>+INPUTS!E6</f>
        <v>7. Adj. Ejecutante</v>
      </c>
    </row>
    <row r="21" spans="1:8" ht="17" customHeight="1">
      <c r="A21" s="55"/>
      <c r="B21" s="56"/>
      <c r="D21" s="14" t="s">
        <v>93</v>
      </c>
      <c r="E21" s="61" t="b">
        <f>IF($G$20="8. Adj. Tercero",MIN(INPUTS!E10:E12))</f>
        <v>0</v>
      </c>
      <c r="G21" s="42" t="s">
        <v>94</v>
      </c>
    </row>
    <row r="22" spans="1:8" ht="17" customHeight="1">
      <c r="A22" s="62" t="s">
        <v>57</v>
      </c>
      <c r="B22" s="63"/>
      <c r="C22" s="63"/>
      <c r="D22" s="14" t="s">
        <v>93</v>
      </c>
      <c r="E22" s="61">
        <f>$B$11*(1+$E$10)^(($E$16+INPUTS!B24)/12)</f>
        <v>184445.1137872728</v>
      </c>
      <c r="G22" s="42" t="s">
        <v>97</v>
      </c>
    </row>
    <row r="23" spans="1:8" ht="17" customHeight="1">
      <c r="A23" s="21" t="s">
        <v>58</v>
      </c>
      <c r="B23" s="21" t="s">
        <v>59</v>
      </c>
      <c r="C23" s="21" t="s">
        <v>60</v>
      </c>
      <c r="D23" s="14" t="str">
        <f>+A8</f>
        <v>Total deuda (€) a la fecha de compra</v>
      </c>
      <c r="E23" s="61">
        <f>+B8</f>
        <v>120000</v>
      </c>
    </row>
    <row r="24" spans="1:8" ht="17" customHeight="1">
      <c r="A24" s="22">
        <v>0</v>
      </c>
      <c r="B24" s="23">
        <f>-$B$14</f>
        <v>-129500</v>
      </c>
      <c r="C24" s="24" t="str">
        <f>IF($B$5="Acuerdo con el deudor","Inversión inicial (compra + costes iniciales + legales + cash for keys)","Inversión inicial (compra + costes iniciales + legales)")</f>
        <v>Inversión inicial (compra + costes iniciales + legales)</v>
      </c>
      <c r="D24" s="14" t="s">
        <v>102</v>
      </c>
      <c r="E24" s="61">
        <f>$B$8*(1+INPUTS!$E$20)^($E$16/12)</f>
        <v>121967.56281778243</v>
      </c>
    </row>
    <row r="25" spans="1:8" ht="17" customHeight="1">
      <c r="A25" s="22">
        <v>1</v>
      </c>
      <c r="B25" s="23">
        <f>IF(A25&lt;$E$16,-$E$12,IF(A25=$E$16,$B$13-$E$12,0))</f>
        <v>-300</v>
      </c>
      <c r="C25" s="24" t="str">
        <f>IF(A25&lt;$E$16,"Gestión",IF(A25=$E$16,"Exit Value","") )</f>
        <v>Gestión</v>
      </c>
      <c r="D25" s="14" t="str">
        <f>+D17</f>
        <v>Coste legal total</v>
      </c>
      <c r="E25" s="61">
        <f>+E17</f>
        <v>9500</v>
      </c>
    </row>
    <row r="26" spans="1:8" ht="17" customHeight="1">
      <c r="A26" s="22">
        <v>2</v>
      </c>
      <c r="B26" s="23">
        <f>IF(A26&lt;$E$16,-$E$12,IF(A26=$E$16,$B$13-$E$12,0))</f>
        <v>-300</v>
      </c>
      <c r="C26" s="24" t="str">
        <f>IF(A26&lt;$E$16,"Gestión",IF(A26=$E$16,"Exit Value","") )</f>
        <v>Gestión</v>
      </c>
      <c r="D26" s="14" t="s">
        <v>103</v>
      </c>
      <c r="E26" s="61">
        <f>+E25+E24</f>
        <v>131467.56281778243</v>
      </c>
    </row>
    <row r="27" spans="1:8" ht="15">
      <c r="A27" s="22">
        <v>3</v>
      </c>
      <c r="B27" s="23">
        <f>IF(A27&lt;$E$16,-$E$12,IF(A27=$E$16,$B$13-$E$12,0))</f>
        <v>-300</v>
      </c>
      <c r="C27" s="24" t="str">
        <f>IF(A27&lt;$E$16,"Gestión",IF(A27=$E$16,"Exit Value","") )</f>
        <v>Gestión</v>
      </c>
    </row>
    <row r="28" spans="1:8" ht="14" customHeight="1">
      <c r="A28" s="22">
        <v>4</v>
      </c>
      <c r="B28" s="23">
        <f>IF(A28&lt;$E$16,-$E$12,IF(A28=$E$16,$B$13-$E$12,0))</f>
        <v>184145.1137872728</v>
      </c>
      <c r="C28" s="24" t="str">
        <f>IF(A28&lt;$E$16,"Gestión",IF(A28=$E$16,"Exit Value","") )</f>
        <v>Exit Value</v>
      </c>
      <c r="D28" s="63"/>
      <c r="E28" s="63"/>
      <c r="F28" s="63"/>
      <c r="G28" s="63"/>
      <c r="H28" s="63"/>
    </row>
    <row r="29" spans="1:8" ht="16" customHeight="1">
      <c r="A29" s="22">
        <v>5</v>
      </c>
      <c r="B29" s="23">
        <f>IF(A29&lt;$E$16,-$E$12,IF(A29=$E$16,$B$13-$E$12,0))</f>
        <v>0</v>
      </c>
      <c r="C29" s="24" t="str">
        <f>IF(A29&lt;$E$16,"Gestión",IF(A29=$E$16,"Exit Value","") )</f>
        <v/>
      </c>
    </row>
    <row r="30" spans="1:8" ht="29" customHeight="1">
      <c r="A30" s="22">
        <v>6</v>
      </c>
      <c r="B30" s="23">
        <f>IF(A30&lt;$E$16,-$E$12,IF(A30=$E$16,$B$13-$E$12,0))</f>
        <v>0</v>
      </c>
      <c r="C30" s="24" t="str">
        <f>IF(A30&lt;$E$16,"Gestión",IF(A30=$E$16,"Exit Value","") )</f>
        <v/>
      </c>
    </row>
    <row r="31" spans="1:8" ht="16" customHeight="1">
      <c r="A31" s="22">
        <v>7</v>
      </c>
      <c r="B31" s="23">
        <f>IF(A31&lt;$E$16,-$E$12,IF(A31=$E$16,$B$13-$E$12,0))</f>
        <v>0</v>
      </c>
      <c r="C31" s="24" t="str">
        <f>IF(A31&lt;$E$16,"Gestión",IF(A31=$E$16,"Exit Value","") )</f>
        <v/>
      </c>
    </row>
    <row r="32" spans="1:8" ht="16" customHeight="1">
      <c r="A32" s="22">
        <v>8</v>
      </c>
      <c r="B32" s="23">
        <f>IF(A32&lt;$E$16,-$E$12,IF(A32=$E$16,$B$13-$E$12,0))</f>
        <v>0</v>
      </c>
      <c r="C32" s="24" t="str">
        <f>IF(A32&lt;$E$16,"Gestión",IF(A32=$E$16,"Exit Value","") )</f>
        <v/>
      </c>
    </row>
    <row r="33" spans="1:3" ht="16" customHeight="1">
      <c r="A33" s="22">
        <v>9</v>
      </c>
      <c r="B33" s="23">
        <f>IF(A33&lt;$E$16,-$E$12,IF(A33=$E$16,$B$13-$E$12,0))</f>
        <v>0</v>
      </c>
      <c r="C33" s="24" t="str">
        <f>IF(A33&lt;$E$16,"Gestión",IF(A33=$E$16,"Exit Value","") )</f>
        <v/>
      </c>
    </row>
    <row r="34" spans="1:3" ht="16" customHeight="1">
      <c r="A34" s="22">
        <v>10</v>
      </c>
      <c r="B34" s="23">
        <f>IF(A34&lt;$E$16,-$E$12,IF(A34=$E$16,$B$13-$E$12,0))</f>
        <v>0</v>
      </c>
      <c r="C34" s="24" t="str">
        <f>IF(A34&lt;$E$16,"Gestión",IF(A34=$E$16,"Exit Value","") )</f>
        <v/>
      </c>
    </row>
    <row r="35" spans="1:3" ht="16" customHeight="1">
      <c r="A35" s="22">
        <v>11</v>
      </c>
      <c r="B35" s="23">
        <f>IF(A35&lt;$E$16,-$E$12,IF(A35=$E$16,$B$13-$E$12,0))</f>
        <v>0</v>
      </c>
      <c r="C35" s="24" t="str">
        <f>IF(A35&lt;$E$16,"Gestión",IF(A35=$E$16,"Exit Value","") )</f>
        <v/>
      </c>
    </row>
    <row r="36" spans="1:3" ht="16" customHeight="1">
      <c r="A36" s="22">
        <v>12</v>
      </c>
      <c r="B36" s="23">
        <f>IF(A36&lt;$E$16,-$E$12,IF(A36=$E$16,$B$13-$E$12,0))</f>
        <v>0</v>
      </c>
      <c r="C36" s="24" t="str">
        <f>IF(A36&lt;$E$16,"Gestión",IF(A36=$E$16,"Exit Value","") )</f>
        <v/>
      </c>
    </row>
    <row r="37" spans="1:3" ht="16" customHeight="1">
      <c r="A37" s="22">
        <v>13</v>
      </c>
      <c r="B37" s="23">
        <f>IF(A37&lt;$E$16,-$E$12,IF(A37=$E$16,$B$13-$E$12,0))</f>
        <v>0</v>
      </c>
      <c r="C37" s="24" t="str">
        <f>IF(A37&lt;$E$16,"Gestión",IF(A37=$E$16,"Exit Value","") )</f>
        <v/>
      </c>
    </row>
    <row r="38" spans="1:3" ht="16" customHeight="1">
      <c r="A38" s="22">
        <v>14</v>
      </c>
      <c r="B38" s="23">
        <f>IF(A38&lt;$E$16,-$E$12,IF(A38=$E$16,$B$13-$E$12,0))</f>
        <v>0</v>
      </c>
      <c r="C38" s="24" t="str">
        <f>IF(A38&lt;$E$16,"Gestión",IF(A38=$E$16,"Exit Value","") )</f>
        <v/>
      </c>
    </row>
    <row r="39" spans="1:3" ht="16" customHeight="1">
      <c r="A39" s="22">
        <v>15</v>
      </c>
      <c r="B39" s="23">
        <f>IF(A39&lt;$E$16,-$E$12,IF(A39=$E$16,$B$13-$E$12,0))</f>
        <v>0</v>
      </c>
      <c r="C39" s="24" t="str">
        <f>IF(A39&lt;$E$16,"Gestión",IF(A39=$E$16,"Exit Value","") )</f>
        <v/>
      </c>
    </row>
    <row r="40" spans="1:3" ht="16" customHeight="1">
      <c r="A40" s="22">
        <v>16</v>
      </c>
      <c r="B40" s="23">
        <f>IF(A40&lt;$E$16,-$E$12,IF(A40=$E$16,$B$13-$E$12,0))</f>
        <v>0</v>
      </c>
      <c r="C40" s="24" t="str">
        <f>IF(A40&lt;$E$16,"Gestión",IF(A40=$E$16,"Exit Value","") )</f>
        <v/>
      </c>
    </row>
    <row r="41" spans="1:3" ht="16" customHeight="1">
      <c r="A41" s="22">
        <v>17</v>
      </c>
      <c r="B41" s="23">
        <f>IF(A41&lt;$E$16,-$E$12,IF(A41=$E$16,$B$13-$E$12,0))</f>
        <v>0</v>
      </c>
      <c r="C41" s="24" t="str">
        <f>IF(A41&lt;$E$16,"Gestión",IF(A41=$E$16,"Exit Value","") )</f>
        <v/>
      </c>
    </row>
    <row r="42" spans="1:3" ht="16" customHeight="1">
      <c r="A42" s="22">
        <v>18</v>
      </c>
      <c r="B42" s="23">
        <f>IF(A42&lt;$E$16,-$E$12,IF(A42=$E$16,$B$13-$E$12,0))</f>
        <v>0</v>
      </c>
      <c r="C42" s="24" t="str">
        <f>IF(A42&lt;$E$16,"Gestión",IF(A42=$E$16,"Exit Value","") )</f>
        <v/>
      </c>
    </row>
    <row r="43" spans="1:3" ht="16" customHeight="1">
      <c r="A43" s="22">
        <v>19</v>
      </c>
      <c r="B43" s="23">
        <f>IF(A43&lt;$E$16,-$E$12,IF(A43=$E$16,$B$13-$E$12,0))</f>
        <v>0</v>
      </c>
      <c r="C43" s="24" t="str">
        <f>IF(A43&lt;$E$16,"Gestión",IF(A43=$E$16,"Exit Value","") )</f>
        <v/>
      </c>
    </row>
    <row r="44" spans="1:3" ht="16" customHeight="1">
      <c r="A44" s="22">
        <v>20</v>
      </c>
      <c r="B44" s="23">
        <f>IF(A44&lt;$E$16,-$E$12,IF(A44=$E$16,$B$13-$E$12,0))</f>
        <v>0</v>
      </c>
      <c r="C44" s="24" t="str">
        <f>IF(A44&lt;$E$16,"Gestión",IF(A44=$E$16,"Exit Value","") )</f>
        <v/>
      </c>
    </row>
    <row r="45" spans="1:3" ht="16" customHeight="1">
      <c r="A45" s="22">
        <v>21</v>
      </c>
      <c r="B45" s="23">
        <f>IF(A45&lt;$E$16,-$E$12,IF(A45=$E$16,$B$13-$E$12,0))</f>
        <v>0</v>
      </c>
      <c r="C45" s="24" t="str">
        <f>IF(A45&lt;$E$16,"Gestión",IF(A45=$E$16,"Exit Value","") )</f>
        <v/>
      </c>
    </row>
    <row r="46" spans="1:3" ht="16" customHeight="1">
      <c r="A46" s="22">
        <v>22</v>
      </c>
      <c r="B46" s="23">
        <f>IF(A46&lt;$E$16,-$E$12,IF(A46=$E$16,$B$13-$E$12,0))</f>
        <v>0</v>
      </c>
      <c r="C46" s="24" t="str">
        <f>IF(A46&lt;$E$16,"Gestión",IF(A46=$E$16,"Exit Value","") )</f>
        <v/>
      </c>
    </row>
    <row r="47" spans="1:3" ht="16" customHeight="1">
      <c r="A47" s="22">
        <v>23</v>
      </c>
      <c r="B47" s="23">
        <f>IF(A47&lt;$E$16,-$E$12,IF(A47=$E$16,$B$13-$E$12,0))</f>
        <v>0</v>
      </c>
      <c r="C47" s="24" t="str">
        <f>IF(A47&lt;$E$16,"Gestión",IF(A47=$E$16,"Exit Value","") )</f>
        <v/>
      </c>
    </row>
    <row r="48" spans="1:3" ht="16" customHeight="1">
      <c r="A48" s="22">
        <v>24</v>
      </c>
      <c r="B48" s="23">
        <f>IF(A48&lt;$E$16,-$E$12,IF(A48=$E$16,$B$13-$E$12,0))</f>
        <v>0</v>
      </c>
      <c r="C48" s="24" t="str">
        <f>IF(A48&lt;$E$16,"Gestión",IF(A48=$E$16,"Exit Value","") )</f>
        <v/>
      </c>
    </row>
    <row r="49" spans="1:3" ht="16" customHeight="1">
      <c r="A49" s="22">
        <v>25</v>
      </c>
      <c r="B49" s="23">
        <f>IF(A49&lt;$E$16,-$E$12,IF(A49=$E$16,$B$13-$E$12,0))</f>
        <v>0</v>
      </c>
      <c r="C49" s="24" t="str">
        <f>IF(A49&lt;$E$16,"Gestión",IF(A49=$E$16,"Exit Value","") )</f>
        <v/>
      </c>
    </row>
    <row r="50" spans="1:3" ht="16" customHeight="1">
      <c r="A50" s="22">
        <v>26</v>
      </c>
      <c r="B50" s="23">
        <f>IF(A50&lt;$E$16,-$E$12,IF(A50=$E$16,$B$13-$E$12,0))</f>
        <v>0</v>
      </c>
      <c r="C50" s="24" t="str">
        <f>IF(A50&lt;$E$16,"Gestión",IF(A50=$E$16,"Exit Value","") )</f>
        <v/>
      </c>
    </row>
    <row r="51" spans="1:3" ht="16" customHeight="1">
      <c r="A51" s="22">
        <v>27</v>
      </c>
      <c r="B51" s="23">
        <f>IF(A51&lt;$E$16,-$E$12,IF(A51=$E$16,$B$13-$E$12,0))</f>
        <v>0</v>
      </c>
      <c r="C51" s="24" t="str">
        <f>IF(A51&lt;$E$16,"Gestión",IF(A51=$E$16,"Exit Value","") )</f>
        <v/>
      </c>
    </row>
    <row r="52" spans="1:3" ht="16" customHeight="1">
      <c r="A52" s="22">
        <v>28</v>
      </c>
      <c r="B52" s="23">
        <f>IF(A52&lt;$E$16,-$E$12,IF(A52=$E$16,$B$13-$E$12,0))</f>
        <v>0</v>
      </c>
      <c r="C52" s="24" t="str">
        <f>IF(A52&lt;$E$16,"Gestión",IF(A52=$E$16,"Exit Value","") )</f>
        <v/>
      </c>
    </row>
    <row r="53" spans="1:3" ht="16" customHeight="1">
      <c r="A53" s="22">
        <v>29</v>
      </c>
      <c r="B53" s="23">
        <f>IF(A53&lt;$E$16,-$E$12,IF(A53=$E$16,$B$13-$E$12,0))</f>
        <v>0</v>
      </c>
      <c r="C53" s="24" t="str">
        <f>IF(A53&lt;$E$16,"Gestión",IF(A53=$E$16,"Exit Value","") )</f>
        <v/>
      </c>
    </row>
    <row r="54" spans="1:3" ht="16" customHeight="1">
      <c r="A54" s="22">
        <v>30</v>
      </c>
      <c r="B54" s="23">
        <f>IF(A54&lt;$E$16,-$E$12,IF(A54=$E$16,$B$13-$E$12,0))</f>
        <v>0</v>
      </c>
      <c r="C54" s="24" t="str">
        <f>IF(A54&lt;$E$16,"Gestión",IF(A54=$E$16,"Exit Value","") )</f>
        <v/>
      </c>
    </row>
    <row r="55" spans="1:3" ht="16" customHeight="1">
      <c r="A55" s="22">
        <v>31</v>
      </c>
      <c r="B55" s="23">
        <f>IF(A55&lt;$E$16,-$E$12,IF(A55=$E$16,$B$13-$E$12,0))</f>
        <v>0</v>
      </c>
      <c r="C55" s="24" t="str">
        <f>IF(A55&lt;$E$16,"Gestión",IF(A55=$E$16,"Exit Value","") )</f>
        <v/>
      </c>
    </row>
    <row r="56" spans="1:3" ht="16" customHeight="1">
      <c r="A56" s="22">
        <v>32</v>
      </c>
      <c r="B56" s="23">
        <f>IF(A56&lt;$E$16,-$E$12,IF(A56=$E$16,$B$13-$E$12,0))</f>
        <v>0</v>
      </c>
      <c r="C56" s="24" t="str">
        <f>IF(A56&lt;$E$16,"Gestión",IF(A56=$E$16,"Exit Value","") )</f>
        <v/>
      </c>
    </row>
    <row r="57" spans="1:3" ht="16" customHeight="1">
      <c r="A57" s="22">
        <v>33</v>
      </c>
      <c r="B57" s="23">
        <f>IF(A57&lt;$E$16,-$E$12,IF(A57=$E$16,$B$13-$E$12,0))</f>
        <v>0</v>
      </c>
      <c r="C57" s="24" t="str">
        <f>IF(A57&lt;$E$16,"Gestión",IF(A57=$E$16,"Exit Value","") )</f>
        <v/>
      </c>
    </row>
    <row r="58" spans="1:3" ht="16" customHeight="1">
      <c r="A58" s="22">
        <v>34</v>
      </c>
      <c r="B58" s="23">
        <f>IF(A58&lt;$E$16,-$E$12,IF(A58=$E$16,$B$13-$E$12,0))</f>
        <v>0</v>
      </c>
      <c r="C58" s="24" t="str">
        <f>IF(A58&lt;$E$16,"Gestión",IF(A58=$E$16,"Exit Value","") )</f>
        <v/>
      </c>
    </row>
    <row r="59" spans="1:3" ht="16" customHeight="1">
      <c r="A59" s="22">
        <v>35</v>
      </c>
      <c r="B59" s="23">
        <f>IF(A59&lt;$E$16,-$E$12,IF(A59=$E$16,$B$13-$E$12,0))</f>
        <v>0</v>
      </c>
      <c r="C59" s="24" t="str">
        <f>IF(A59&lt;$E$16,"Gestión",IF(A59=$E$16,"Exit Value","") )</f>
        <v/>
      </c>
    </row>
    <row r="60" spans="1:3" ht="16" customHeight="1">
      <c r="A60" s="22">
        <v>36</v>
      </c>
      <c r="B60" s="23">
        <f>IF(A60&lt;$E$16,-$E$12,IF(A60=$E$16,$B$13-$E$12,0))</f>
        <v>0</v>
      </c>
      <c r="C60" s="24" t="str">
        <f>IF(A60&lt;$E$16,"Gestión",IF(A60=$E$16,"Exit Value","") )</f>
        <v/>
      </c>
    </row>
    <row r="61" spans="1:3" ht="16" customHeight="1">
      <c r="A61" s="22">
        <v>37</v>
      </c>
      <c r="B61" s="23">
        <f>IF(A61&lt;$E$16,-$E$12,IF(A61=$E$16,$B$13-$E$12,0))</f>
        <v>0</v>
      </c>
      <c r="C61" s="24" t="str">
        <f>IF(A61&lt;$E$16,"Gestión",IF(A61=$E$16,"Exit Value","") )</f>
        <v/>
      </c>
    </row>
    <row r="62" spans="1:3" ht="16" customHeight="1">
      <c r="A62" s="22">
        <v>38</v>
      </c>
      <c r="B62" s="23">
        <f>IF(A62&lt;$E$16,-$E$12,IF(A62=$E$16,$B$13-$E$12,0))</f>
        <v>0</v>
      </c>
      <c r="C62" s="24" t="str">
        <f>IF(A62&lt;$E$16,"Gestión",IF(A62=$E$16,"Exit Value","") )</f>
        <v/>
      </c>
    </row>
    <row r="63" spans="1:3" ht="16" customHeight="1">
      <c r="A63" s="22">
        <v>39</v>
      </c>
      <c r="B63" s="23">
        <f>IF(A63&lt;$E$16,-$E$12,IF(A63=$E$16,$B$13-$E$12,0))</f>
        <v>0</v>
      </c>
      <c r="C63" s="24" t="str">
        <f>IF(A63&lt;$E$16,"Gestión",IF(A63=$E$16,"Exit Value","") )</f>
        <v/>
      </c>
    </row>
    <row r="64" spans="1:3" ht="16" customHeight="1">
      <c r="A64" s="22">
        <v>40</v>
      </c>
      <c r="B64" s="23">
        <f>IF(A64&lt;$E$16,-$E$12,IF(A64=$E$16,$B$13-$E$12,0))</f>
        <v>0</v>
      </c>
      <c r="C64" s="24" t="str">
        <f>IF(A64&lt;$E$16,"Gestión",IF(A64=$E$16,"Exit Value","") )</f>
        <v/>
      </c>
    </row>
    <row r="65" spans="1:3" ht="16" customHeight="1">
      <c r="A65" s="22">
        <v>41</v>
      </c>
      <c r="B65" s="23">
        <f>IF(A65&lt;$E$16,-$E$12,IF(A65=$E$16,$B$13-$E$12,0))</f>
        <v>0</v>
      </c>
      <c r="C65" s="24" t="str">
        <f>IF(A65&lt;$E$16,"Gestión",IF(A65=$E$16,"Exit Value","") )</f>
        <v/>
      </c>
    </row>
    <row r="66" spans="1:3" ht="16" customHeight="1">
      <c r="A66" s="22">
        <v>42</v>
      </c>
      <c r="B66" s="23">
        <f>IF(A66&lt;$E$16,-$E$12,IF(A66=$E$16,$B$13-$E$12,0))</f>
        <v>0</v>
      </c>
      <c r="C66" s="24" t="str">
        <f>IF(A66&lt;$E$16,"Gestión",IF(A66=$E$16,"Exit Value","") )</f>
        <v/>
      </c>
    </row>
    <row r="67" spans="1:3" ht="16" customHeight="1">
      <c r="A67" s="22">
        <v>43</v>
      </c>
      <c r="B67" s="23">
        <f>IF(A67&lt;$E$16,-$E$12,IF(A67=$E$16,$B$13-$E$12,0))</f>
        <v>0</v>
      </c>
      <c r="C67" s="24" t="str">
        <f>IF(A67&lt;$E$16,"Gestión",IF(A67=$E$16,"Exit Value","") )</f>
        <v/>
      </c>
    </row>
    <row r="68" spans="1:3" ht="16" customHeight="1">
      <c r="A68" s="22">
        <v>44</v>
      </c>
      <c r="B68" s="23">
        <f>IF(A68&lt;$E$16,-$E$12,IF(A68=$E$16,$B$13-$E$12,0))</f>
        <v>0</v>
      </c>
      <c r="C68" s="24" t="str">
        <f>IF(A68&lt;$E$16,"Gestión",IF(A68=$E$16,"Exit Value","") )</f>
        <v/>
      </c>
    </row>
    <row r="69" spans="1:3" ht="16" customHeight="1">
      <c r="A69" s="22">
        <v>45</v>
      </c>
      <c r="B69" s="23">
        <f>IF(A69&lt;$E$16,-$E$12,IF(A69=$E$16,$B$13-$E$12,0))</f>
        <v>0</v>
      </c>
      <c r="C69" s="24" t="str">
        <f>IF(A69&lt;$E$16,"Gestión",IF(A69=$E$16,"Exit Value","") )</f>
        <v/>
      </c>
    </row>
    <row r="70" spans="1:3" ht="16" customHeight="1">
      <c r="A70" s="22">
        <v>46</v>
      </c>
      <c r="B70" s="23">
        <f>IF(A70&lt;$E$16,-$E$12,IF(A70=$E$16,$B$13-$E$12,0))</f>
        <v>0</v>
      </c>
      <c r="C70" s="24" t="str">
        <f>IF(A70&lt;$E$16,"Gestión",IF(A70=$E$16,"Exit Value","") )</f>
        <v/>
      </c>
    </row>
    <row r="71" spans="1:3" ht="16" customHeight="1">
      <c r="A71" s="22">
        <v>47</v>
      </c>
      <c r="B71" s="23">
        <f>IF(A71&lt;$E$16,-$E$12,IF(A71=$E$16,$B$13-$E$12,0))</f>
        <v>0</v>
      </c>
      <c r="C71" s="24" t="str">
        <f>IF(A71&lt;$E$16,"Gestión",IF(A71=$E$16,"Exit Value","") )</f>
        <v/>
      </c>
    </row>
    <row r="72" spans="1:3" ht="16" customHeight="1">
      <c r="A72" s="22">
        <v>48</v>
      </c>
      <c r="B72" s="23">
        <f>IF(A72&lt;$E$16,-$E$12,IF(A72=$E$16,$B$13-$E$12,0))</f>
        <v>0</v>
      </c>
      <c r="C72" s="24" t="str">
        <f>IF(A72&lt;$E$16,"Gestión",IF(A72=$E$16,"Exit Value","") )</f>
        <v/>
      </c>
    </row>
    <row r="73" spans="1:3" ht="16" customHeight="1">
      <c r="A73" s="22">
        <v>49</v>
      </c>
      <c r="B73" s="23">
        <f>IF(A73&lt;$E$16,-$E$12,IF(A73=$E$16,$B$13-$E$12,0))</f>
        <v>0</v>
      </c>
      <c r="C73" s="24" t="str">
        <f>IF(A73&lt;$E$16,"Gestión",IF(A73=$E$16,"Exit Value","") )</f>
        <v/>
      </c>
    </row>
    <row r="74" spans="1:3" ht="16" customHeight="1">
      <c r="A74" s="22">
        <v>50</v>
      </c>
      <c r="B74" s="23">
        <f>IF(A74&lt;$E$16,-$E$12,IF(A74=$E$16,$B$13-$E$12,0))</f>
        <v>0</v>
      </c>
      <c r="C74" s="24" t="str">
        <f>IF(A74&lt;$E$16,"Gestión",IF(A74=$E$16,"Exit Value","") )</f>
        <v/>
      </c>
    </row>
    <row r="75" spans="1:3" ht="16" customHeight="1">
      <c r="A75" s="22">
        <v>51</v>
      </c>
      <c r="B75" s="23">
        <f>IF(A75&lt;$E$16,-$E$12,IF(A75=$E$16,$B$13-$E$12,0))</f>
        <v>0</v>
      </c>
      <c r="C75" s="24" t="str">
        <f>IF(A75&lt;$E$16,"Gestión",IF(A75=$E$16,"Exit Value","") )</f>
        <v/>
      </c>
    </row>
    <row r="76" spans="1:3" ht="16" customHeight="1">
      <c r="A76" s="22">
        <v>52</v>
      </c>
      <c r="B76" s="23">
        <f>IF(A76&lt;$E$16,-$E$12,IF(A76=$E$16,$B$13-$E$12,0))</f>
        <v>0</v>
      </c>
      <c r="C76" s="24" t="str">
        <f>IF(A76&lt;$E$16,"Gestión",IF(A76=$E$16,"Exit Value","") )</f>
        <v/>
      </c>
    </row>
    <row r="77" spans="1:3" ht="16" customHeight="1">
      <c r="A77" s="22">
        <v>53</v>
      </c>
      <c r="B77" s="23">
        <f>IF(A77&lt;$E$16,-$E$12,IF(A77=$E$16,$B$13-$E$12,0))</f>
        <v>0</v>
      </c>
      <c r="C77" s="24" t="str">
        <f>IF(A77&lt;$E$16,"Gestión",IF(A77=$E$16,"Exit Value","") )</f>
        <v/>
      </c>
    </row>
    <row r="78" spans="1:3" ht="16" customHeight="1">
      <c r="A78" s="22">
        <v>54</v>
      </c>
      <c r="B78" s="23">
        <f>IF(A78&lt;$E$16,-$E$12,IF(A78=$E$16,$B$13-$E$12,0))</f>
        <v>0</v>
      </c>
      <c r="C78" s="24" t="str">
        <f>IF(A78&lt;$E$16,"Gestión",IF(A78=$E$16,"Exit Value","") )</f>
        <v/>
      </c>
    </row>
    <row r="79" spans="1:3" ht="16" customHeight="1">
      <c r="A79" s="22">
        <v>55</v>
      </c>
      <c r="B79" s="23">
        <f>IF(A79&lt;$E$16,-$E$12,IF(A79=$E$16,$B$13-$E$12,0))</f>
        <v>0</v>
      </c>
      <c r="C79" s="24" t="str">
        <f>IF(A79&lt;$E$16,"Gestión",IF(A79=$E$16,"Exit Value","") )</f>
        <v/>
      </c>
    </row>
    <row r="80" spans="1:3" ht="16" customHeight="1">
      <c r="A80" s="22">
        <v>56</v>
      </c>
      <c r="B80" s="23">
        <f>IF(A80&lt;$E$16,-$E$12,IF(A80=$E$16,$B$13-$E$12,0))</f>
        <v>0</v>
      </c>
      <c r="C80" s="24" t="str">
        <f>IF(A80&lt;$E$16,"Gestión",IF(A80=$E$16,"Exit Value","") )</f>
        <v/>
      </c>
    </row>
    <row r="81" spans="1:8" ht="16" customHeight="1">
      <c r="A81" s="22">
        <v>57</v>
      </c>
      <c r="B81" s="23">
        <f>IF(A81&lt;$E$16,-$E$12,IF(A81=$E$16,$B$13-$E$12,0))</f>
        <v>0</v>
      </c>
      <c r="C81" s="24" t="str">
        <f>IF(A81&lt;$E$16,"Gestión",IF(A81=$E$16,"Exit Value","") )</f>
        <v/>
      </c>
    </row>
    <row r="82" spans="1:8" ht="16" customHeight="1">
      <c r="A82" s="22">
        <v>58</v>
      </c>
      <c r="B82" s="23">
        <f>IF(A82&lt;$E$16,-$E$12,IF(A82=$E$16,$B$13-$E$12,0))</f>
        <v>0</v>
      </c>
      <c r="C82" s="24" t="str">
        <f>IF(A82&lt;$E$16,"Gestión",IF(A82=$E$16,"Exit Value","") )</f>
        <v/>
      </c>
    </row>
    <row r="83" spans="1:8" ht="16" customHeight="1">
      <c r="A83" s="22">
        <v>59</v>
      </c>
      <c r="B83" s="23">
        <f>IF(A83&lt;$E$16,-$E$12,IF(A83=$E$16,$B$13-$E$12,0))</f>
        <v>0</v>
      </c>
      <c r="C83" s="24" t="str">
        <f>IF(A83&lt;$E$16,"Gestión",IF(A83=$E$16,"Exit Value","") )</f>
        <v/>
      </c>
    </row>
    <row r="84" spans="1:8" ht="16" customHeight="1">
      <c r="A84" s="22">
        <v>60</v>
      </c>
      <c r="B84" s="23">
        <f>IF(A84&lt;$E$16,-$E$12,IF(A84=$E$16,$B$13-$E$12,0))</f>
        <v>0</v>
      </c>
      <c r="C84" s="24" t="str">
        <f>IF(A84&lt;$E$16,"Gestión",IF(A84=$E$16,"Exit Value","") )</f>
        <v/>
      </c>
    </row>
    <row r="85" spans="1:8" ht="16" customHeight="1"/>
    <row r="86" spans="1:8" ht="16" customHeight="1">
      <c r="A86" s="62" t="s">
        <v>61</v>
      </c>
      <c r="B86" s="63"/>
      <c r="C86" s="63"/>
    </row>
    <row r="87" spans="1:8" ht="16" customHeight="1">
      <c r="A87" s="43" t="s">
        <v>62</v>
      </c>
      <c r="B87" s="57">
        <f>IFERROR(IRR($B$24:$B$84),0)</f>
        <v>9.0406041210958854E-2</v>
      </c>
    </row>
    <row r="88" spans="1:8" ht="16" customHeight="1">
      <c r="A88" s="43" t="s">
        <v>56</v>
      </c>
      <c r="B88" s="53">
        <f>(1+$B$87)^12-1</f>
        <v>1.8252636875402222</v>
      </c>
    </row>
    <row r="89" spans="1:8" ht="16" customHeight="1">
      <c r="A89" s="43" t="s">
        <v>55</v>
      </c>
      <c r="B89" s="50">
        <f>NPV($E$18,$B$25:$B$84)+$B$24</f>
        <v>46935.371966756298</v>
      </c>
    </row>
    <row r="90" spans="1:8" ht="16" customHeight="1"/>
    <row r="92" spans="1:8" ht="14" customHeight="1">
      <c r="D92" s="63"/>
      <c r="E92" s="63"/>
      <c r="F92" s="63"/>
      <c r="G92" s="63"/>
      <c r="H92" s="63"/>
    </row>
    <row r="93" spans="1:8" ht="17" customHeight="1"/>
    <row r="94" spans="1:8" ht="17" customHeight="1"/>
    <row r="95" spans="1:8" ht="17" customHeight="1"/>
    <row r="104" spans="2:2">
      <c r="B104" s="58">
        <f>$B$88</f>
        <v>1.8252636875402222</v>
      </c>
    </row>
    <row r="105" spans="2:2">
      <c r="B105" s="59">
        <f>$B$89</f>
        <v>46935.371966756298</v>
      </c>
    </row>
  </sheetData>
  <sheetProtection algorithmName="SHA-512" hashValue="DsVJtfw2wT7pLUDOBvA3ieWi4DZF7g2vvRk5hnvTmymZYzj7s43HQx0iGQ+x67vWVgaTBAdr32YGfYABIHoZrg==" saltValue="UNgWouGy2GWNvJ1iMX9+fg==" spinCount="100000" sheet="1" objects="1" scenarios="1"/>
  <mergeCells count="8">
    <mergeCell ref="D15:H15"/>
    <mergeCell ref="A7:H7"/>
    <mergeCell ref="D19:H19"/>
    <mergeCell ref="A1:H1"/>
    <mergeCell ref="A12:C12"/>
    <mergeCell ref="D8:F8"/>
    <mergeCell ref="A3:H3"/>
    <mergeCell ref="G8:H8"/>
  </mergeCells>
  <pageMargins left="0.7" right="0.7" top="0.75" bottom="0.75" header="0.3" footer="0.3"/>
  <pageSetup paperSize="9" scale="45"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5"/>
  <sheetViews>
    <sheetView zoomScale="110" zoomScaleNormal="110" workbookViewId="0">
      <pane ySplit="2" topLeftCell="A3" activePane="bottomLeft" state="frozen"/>
      <selection activeCell="B31" sqref="B31"/>
      <selection pane="bottomLeft" activeCell="A3" sqref="A3:H35"/>
    </sheetView>
  </sheetViews>
  <sheetFormatPr baseColWidth="10" defaultColWidth="8.83203125" defaultRowHeight="15"/>
  <cols>
    <col min="1" max="8" width="22" customWidth="1"/>
  </cols>
  <sheetData>
    <row r="1" spans="1:8" ht="55" customHeight="1">
      <c r="A1" s="64" t="s">
        <v>68</v>
      </c>
      <c r="B1" s="26"/>
      <c r="C1" s="26"/>
      <c r="D1" s="26"/>
      <c r="E1" s="26"/>
      <c r="F1" s="26"/>
      <c r="G1" s="26"/>
      <c r="H1" s="26"/>
    </row>
    <row r="3" spans="1:8" ht="18" customHeight="1">
      <c r="A3" s="65" t="s">
        <v>105</v>
      </c>
      <c r="B3" s="66"/>
      <c r="C3" s="66"/>
      <c r="D3" s="66"/>
      <c r="E3" s="66"/>
      <c r="F3" s="66"/>
      <c r="G3" s="66"/>
      <c r="H3" s="67"/>
    </row>
    <row r="4" spans="1:8" ht="18" customHeight="1">
      <c r="A4" s="68"/>
      <c r="B4" s="69"/>
      <c r="C4" s="69"/>
      <c r="D4" s="69"/>
      <c r="E4" s="69"/>
      <c r="F4" s="69"/>
      <c r="G4" s="69"/>
      <c r="H4" s="70"/>
    </row>
    <row r="5" spans="1:8" ht="18" customHeight="1">
      <c r="A5" s="68"/>
      <c r="B5" s="69"/>
      <c r="C5" s="69"/>
      <c r="D5" s="69"/>
      <c r="E5" s="69"/>
      <c r="F5" s="69"/>
      <c r="G5" s="69"/>
      <c r="H5" s="70"/>
    </row>
    <row r="6" spans="1:8" ht="18" customHeight="1">
      <c r="A6" s="68"/>
      <c r="B6" s="69"/>
      <c r="C6" s="69"/>
      <c r="D6" s="69"/>
      <c r="E6" s="69"/>
      <c r="F6" s="69"/>
      <c r="G6" s="69"/>
      <c r="H6" s="70"/>
    </row>
    <row r="7" spans="1:8" ht="18" customHeight="1">
      <c r="A7" s="68"/>
      <c r="B7" s="69"/>
      <c r="C7" s="69"/>
      <c r="D7" s="69"/>
      <c r="E7" s="69"/>
      <c r="F7" s="69"/>
      <c r="G7" s="69"/>
      <c r="H7" s="70"/>
    </row>
    <row r="8" spans="1:8" ht="18" customHeight="1">
      <c r="A8" s="68"/>
      <c r="B8" s="69"/>
      <c r="C8" s="69"/>
      <c r="D8" s="69"/>
      <c r="E8" s="69"/>
      <c r="F8" s="69"/>
      <c r="G8" s="69"/>
      <c r="H8" s="70"/>
    </row>
    <row r="9" spans="1:8" ht="18" customHeight="1">
      <c r="A9" s="68"/>
      <c r="B9" s="69"/>
      <c r="C9" s="69"/>
      <c r="D9" s="69"/>
      <c r="E9" s="69"/>
      <c r="F9" s="69"/>
      <c r="G9" s="69"/>
      <c r="H9" s="70"/>
    </row>
    <row r="10" spans="1:8" ht="18" customHeight="1">
      <c r="A10" s="68"/>
      <c r="B10" s="69"/>
      <c r="C10" s="69"/>
      <c r="D10" s="69"/>
      <c r="E10" s="69"/>
      <c r="F10" s="69"/>
      <c r="G10" s="69"/>
      <c r="H10" s="70"/>
    </row>
    <row r="11" spans="1:8" ht="18" customHeight="1">
      <c r="A11" s="68"/>
      <c r="B11" s="69"/>
      <c r="C11" s="69"/>
      <c r="D11" s="69"/>
      <c r="E11" s="69"/>
      <c r="F11" s="69"/>
      <c r="G11" s="69"/>
      <c r="H11" s="70"/>
    </row>
    <row r="12" spans="1:8" ht="18" customHeight="1">
      <c r="A12" s="68"/>
      <c r="B12" s="69"/>
      <c r="C12" s="69"/>
      <c r="D12" s="69"/>
      <c r="E12" s="69"/>
      <c r="F12" s="69"/>
      <c r="G12" s="69"/>
      <c r="H12" s="70"/>
    </row>
    <row r="13" spans="1:8" ht="18" customHeight="1">
      <c r="A13" s="68"/>
      <c r="B13" s="69"/>
      <c r="C13" s="69"/>
      <c r="D13" s="69"/>
      <c r="E13" s="69"/>
      <c r="F13" s="69"/>
      <c r="G13" s="69"/>
      <c r="H13" s="70"/>
    </row>
    <row r="14" spans="1:8" ht="18" customHeight="1">
      <c r="A14" s="68"/>
      <c r="B14" s="69"/>
      <c r="C14" s="69"/>
      <c r="D14" s="69"/>
      <c r="E14" s="69"/>
      <c r="F14" s="69"/>
      <c r="G14" s="69"/>
      <c r="H14" s="70"/>
    </row>
    <row r="15" spans="1:8" ht="18" customHeight="1">
      <c r="A15" s="68"/>
      <c r="B15" s="69"/>
      <c r="C15" s="69"/>
      <c r="D15" s="69"/>
      <c r="E15" s="69"/>
      <c r="F15" s="69"/>
      <c r="G15" s="69"/>
      <c r="H15" s="70"/>
    </row>
    <row r="16" spans="1:8" ht="18" customHeight="1">
      <c r="A16" s="68"/>
      <c r="B16" s="69"/>
      <c r="C16" s="69"/>
      <c r="D16" s="69"/>
      <c r="E16" s="69"/>
      <c r="F16" s="69"/>
      <c r="G16" s="69"/>
      <c r="H16" s="70"/>
    </row>
    <row r="17" spans="1:8" ht="18" customHeight="1">
      <c r="A17" s="68"/>
      <c r="B17" s="69"/>
      <c r="C17" s="69"/>
      <c r="D17" s="69"/>
      <c r="E17" s="69"/>
      <c r="F17" s="69"/>
      <c r="G17" s="69"/>
      <c r="H17" s="70"/>
    </row>
    <row r="18" spans="1:8" ht="18" customHeight="1">
      <c r="A18" s="68"/>
      <c r="B18" s="69"/>
      <c r="C18" s="69"/>
      <c r="D18" s="69"/>
      <c r="E18" s="69"/>
      <c r="F18" s="69"/>
      <c r="G18" s="69"/>
      <c r="H18" s="70"/>
    </row>
    <row r="19" spans="1:8" ht="18" customHeight="1">
      <c r="A19" s="68"/>
      <c r="B19" s="69"/>
      <c r="C19" s="69"/>
      <c r="D19" s="69"/>
      <c r="E19" s="69"/>
      <c r="F19" s="69"/>
      <c r="G19" s="69"/>
      <c r="H19" s="70"/>
    </row>
    <row r="20" spans="1:8" ht="18" customHeight="1">
      <c r="A20" s="68"/>
      <c r="B20" s="69"/>
      <c r="C20" s="69"/>
      <c r="D20" s="69"/>
      <c r="E20" s="69"/>
      <c r="F20" s="69"/>
      <c r="G20" s="69"/>
      <c r="H20" s="70"/>
    </row>
    <row r="21" spans="1:8" ht="18" customHeight="1">
      <c r="A21" s="68"/>
      <c r="B21" s="69"/>
      <c r="C21" s="69"/>
      <c r="D21" s="69"/>
      <c r="E21" s="69"/>
      <c r="F21" s="69"/>
      <c r="G21" s="69"/>
      <c r="H21" s="70"/>
    </row>
    <row r="22" spans="1:8" ht="18" customHeight="1">
      <c r="A22" s="68"/>
      <c r="B22" s="69"/>
      <c r="C22" s="69"/>
      <c r="D22" s="69"/>
      <c r="E22" s="69"/>
      <c r="F22" s="69"/>
      <c r="G22" s="69"/>
      <c r="H22" s="70"/>
    </row>
    <row r="23" spans="1:8" ht="18" customHeight="1">
      <c r="A23" s="68"/>
      <c r="B23" s="69"/>
      <c r="C23" s="69"/>
      <c r="D23" s="69"/>
      <c r="E23" s="69"/>
      <c r="F23" s="69"/>
      <c r="G23" s="69"/>
      <c r="H23" s="70"/>
    </row>
    <row r="24" spans="1:8" ht="18" customHeight="1">
      <c r="A24" s="68"/>
      <c r="B24" s="69"/>
      <c r="C24" s="69"/>
      <c r="D24" s="69"/>
      <c r="E24" s="69"/>
      <c r="F24" s="69"/>
      <c r="G24" s="69"/>
      <c r="H24" s="70"/>
    </row>
    <row r="25" spans="1:8" ht="18" customHeight="1">
      <c r="A25" s="68"/>
      <c r="B25" s="69"/>
      <c r="C25" s="69"/>
      <c r="D25" s="69"/>
      <c r="E25" s="69"/>
      <c r="F25" s="69"/>
      <c r="G25" s="69"/>
      <c r="H25" s="70"/>
    </row>
    <row r="26" spans="1:8" ht="18" customHeight="1">
      <c r="A26" s="68"/>
      <c r="B26" s="69"/>
      <c r="C26" s="69"/>
      <c r="D26" s="69"/>
      <c r="E26" s="69"/>
      <c r="F26" s="69"/>
      <c r="G26" s="69"/>
      <c r="H26" s="70"/>
    </row>
    <row r="27" spans="1:8" ht="18" customHeight="1">
      <c r="A27" s="68"/>
      <c r="B27" s="69"/>
      <c r="C27" s="69"/>
      <c r="D27" s="69"/>
      <c r="E27" s="69"/>
      <c r="F27" s="69"/>
      <c r="G27" s="69"/>
      <c r="H27" s="70"/>
    </row>
    <row r="28" spans="1:8" ht="18" customHeight="1">
      <c r="A28" s="68"/>
      <c r="B28" s="69"/>
      <c r="C28" s="69"/>
      <c r="D28" s="69"/>
      <c r="E28" s="69"/>
      <c r="F28" s="69"/>
      <c r="G28" s="69"/>
      <c r="H28" s="70"/>
    </row>
    <row r="29" spans="1:8" ht="18" customHeight="1">
      <c r="A29" s="68"/>
      <c r="B29" s="69"/>
      <c r="C29" s="69"/>
      <c r="D29" s="69"/>
      <c r="E29" s="69"/>
      <c r="F29" s="69"/>
      <c r="G29" s="69"/>
      <c r="H29" s="70"/>
    </row>
    <row r="30" spans="1:8" ht="18" customHeight="1">
      <c r="A30" s="68"/>
      <c r="B30" s="69"/>
      <c r="C30" s="69"/>
      <c r="D30" s="69"/>
      <c r="E30" s="69"/>
      <c r="F30" s="69"/>
      <c r="G30" s="69"/>
      <c r="H30" s="70"/>
    </row>
    <row r="31" spans="1:8" ht="18" customHeight="1">
      <c r="A31" s="68"/>
      <c r="B31" s="69"/>
      <c r="C31" s="69"/>
      <c r="D31" s="69"/>
      <c r="E31" s="69"/>
      <c r="F31" s="69"/>
      <c r="G31" s="69"/>
      <c r="H31" s="70"/>
    </row>
    <row r="32" spans="1:8" ht="18" customHeight="1">
      <c r="A32" s="68"/>
      <c r="B32" s="69"/>
      <c r="C32" s="69"/>
      <c r="D32" s="69"/>
      <c r="E32" s="69"/>
      <c r="F32" s="69"/>
      <c r="G32" s="69"/>
      <c r="H32" s="70"/>
    </row>
    <row r="33" spans="1:8" ht="18" customHeight="1">
      <c r="A33" s="68"/>
      <c r="B33" s="69"/>
      <c r="C33" s="69"/>
      <c r="D33" s="69"/>
      <c r="E33" s="69"/>
      <c r="F33" s="69"/>
      <c r="G33" s="69"/>
      <c r="H33" s="70"/>
    </row>
    <row r="34" spans="1:8" ht="18" customHeight="1">
      <c r="A34" s="68"/>
      <c r="B34" s="69"/>
      <c r="C34" s="69"/>
      <c r="D34" s="69"/>
      <c r="E34" s="69"/>
      <c r="F34" s="69"/>
      <c r="G34" s="69"/>
      <c r="H34" s="70"/>
    </row>
    <row r="35" spans="1:8" ht="18" customHeight="1">
      <c r="A35" s="71"/>
      <c r="B35" s="72"/>
      <c r="C35" s="72"/>
      <c r="D35" s="72"/>
      <c r="E35" s="72"/>
      <c r="F35" s="72"/>
      <c r="G35" s="72"/>
      <c r="H35" s="73"/>
    </row>
  </sheetData>
  <sheetProtection algorithmName="SHA-512" hashValue="+OFSbrmnQtlk9ieL0bQ73EEmmD1zG8leRHcKN/H+VJ4UGCJm8vHos1ufiJQ1OO9pn5eRGsPFqSvgZyWWgVUFDg==" saltValue="voVNBN7EXgyI31zNmNn1TQ==" spinCount="100000" sheet="1"/>
  <mergeCells count="2">
    <mergeCell ref="A3:H35"/>
    <mergeCell ref="A1:H1"/>
  </mergeCells>
  <pageMargins left="0.75" right="0.75" top="1" bottom="1" header="0.5" footer="0.5"/>
  <pageSetup paperSize="9" scale="69" orientation="landscape"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9"/>
  <sheetViews>
    <sheetView workbookViewId="0">
      <selection activeCell="B10" sqref="B10"/>
    </sheetView>
  </sheetViews>
  <sheetFormatPr baseColWidth="10" defaultColWidth="8.83203125" defaultRowHeight="15"/>
  <cols>
    <col min="1" max="1" width="32.5" bestFit="1" customWidth="1"/>
  </cols>
  <sheetData>
    <row r="1" spans="1:2">
      <c r="A1" t="s">
        <v>69</v>
      </c>
      <c r="B1" t="s">
        <v>70</v>
      </c>
    </row>
    <row r="2" spans="1:2">
      <c r="A2" t="s">
        <v>71</v>
      </c>
      <c r="B2">
        <v>9</v>
      </c>
    </row>
    <row r="3" spans="1:2">
      <c r="A3" t="s">
        <v>23</v>
      </c>
      <c r="B3">
        <v>3</v>
      </c>
    </row>
    <row r="4" spans="1:2">
      <c r="A4" t="s">
        <v>72</v>
      </c>
      <c r="B4">
        <v>2</v>
      </c>
    </row>
    <row r="5" spans="1:2">
      <c r="A5" t="s">
        <v>73</v>
      </c>
      <c r="B5">
        <v>4</v>
      </c>
    </row>
    <row r="6" spans="1:2">
      <c r="A6" t="s">
        <v>74</v>
      </c>
      <c r="B6">
        <v>2</v>
      </c>
    </row>
    <row r="7" spans="1:2">
      <c r="A7" t="s">
        <v>75</v>
      </c>
      <c r="B7">
        <v>3</v>
      </c>
    </row>
    <row r="8" spans="1:2" ht="16">
      <c r="A8" s="41" t="s">
        <v>96</v>
      </c>
      <c r="B8">
        <v>2</v>
      </c>
    </row>
    <row r="9" spans="1:2" ht="16">
      <c r="A9" s="41" t="s">
        <v>95</v>
      </c>
      <c r="B9">
        <v>4</v>
      </c>
    </row>
  </sheetData>
  <pageMargins left="0.75" right="0.75" top="1" bottom="1" header="0.5" footer="0.5"/>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Resumen</vt:lpstr>
      <vt:lpstr>INPUTS</vt:lpstr>
      <vt:lpstr>Modelo</vt:lpstr>
      <vt:lpstr>DISCLAIMER</vt:lpstr>
      <vt:lpstr>Fases</vt:lpstr>
      <vt:lpstr>Modelo!Área_de_impresión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Apartners Consultores Inmobilairios, s.l.</cp:lastModifiedBy>
  <dcterms:created xsi:type="dcterms:W3CDTF">2026-01-26T11:55:04Z</dcterms:created>
  <dcterms:modified xsi:type="dcterms:W3CDTF">2026-01-28T02:07:41Z</dcterms:modified>
</cp:coreProperties>
</file>